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9440" windowHeight="12030" activeTab="0"/>
  </bookViews>
  <sheets>
    <sheet name="Часть 1" sheetId="1" r:id="rId1"/>
    <sheet name="Часть 2" sheetId="2" r:id="rId2"/>
    <sheet name="Часть 3" sheetId="3" r:id="rId3"/>
  </sheets>
  <definedNames>
    <definedName name="_xlnm.Print_Titles" localSheetId="2">'Часть 3'!$2:$4</definedName>
  </definedNames>
  <calcPr fullCalcOnLoad="1"/>
</workbook>
</file>

<file path=xl/sharedStrings.xml><?xml version="1.0" encoding="utf-8"?>
<sst xmlns="http://schemas.openxmlformats.org/spreadsheetml/2006/main" count="429" uniqueCount="253">
  <si>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</si>
  <si>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</si>
  <si>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</si>
  <si>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</si>
  <si>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</si>
  <si>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</si>
  <si>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</si>
  <si>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</si>
  <si>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</si>
  <si>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</si>
  <si>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Протяженность дорог местного значения</t>
  </si>
  <si>
    <t>км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</si>
  <si>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</si>
  <si>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</si>
  <si>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</si>
  <si>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</si>
  <si>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</si>
  <si>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%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</si>
  <si>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</si>
  <si>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</si>
  <si>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</si>
  <si>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</si>
  <si>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</si>
  <si>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</si>
  <si>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</si>
  <si>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Диапазон годовых процентных ставок  по привлекаемым коммерческим кредитам</t>
  </si>
  <si>
    <t>Часть 1 "Основные параметры бюджета"</t>
  </si>
  <si>
    <t>(наименование муниципального образования)</t>
  </si>
  <si>
    <t>№ п/п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</si>
  <si>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2016 - 2018 годы</t>
  </si>
  <si>
    <t xml:space="preserve">2016 год </t>
  </si>
  <si>
    <t>2017 год</t>
  </si>
  <si>
    <t>Примечание</t>
  </si>
  <si>
    <t xml:space="preserve">получение кредитов кредитных организаций </t>
  </si>
  <si>
    <t xml:space="preserve">погашение кредитов кредитных организаций </t>
  </si>
  <si>
    <t>бюджетные кредиты из УФК на пополнение остатков</t>
  </si>
  <si>
    <t>получение бюджетных кредитов из УФК</t>
  </si>
  <si>
    <t>погашение бюджетных кредитов из УФК</t>
  </si>
  <si>
    <t>получение иных бюджетных кредитов</t>
  </si>
  <si>
    <t>погашение иных бюджетных кредитов</t>
  </si>
  <si>
    <t>объем муниципального долга по бюджетным кредитам</t>
  </si>
  <si>
    <t>объем муниципального долга по коммерческим кредитам</t>
  </si>
  <si>
    <t>2018 год 
(первоначальный план)</t>
  </si>
  <si>
    <t>Количество коммерческих банков-кредиторов муниципального образования</t>
  </si>
  <si>
    <t>ед.</t>
  </si>
  <si>
    <t>Удельный вес долговых обязательств ПАО "Сбербанк России" в объеме долга по коммерческим кредитам на конец отчетного года</t>
  </si>
  <si>
    <t>Доля краткосрочных кредитов (до 1 года включительно) в структуре муниципального долга на конец отчетного года</t>
  </si>
  <si>
    <t>2016 год, в том числе за счет</t>
  </si>
  <si>
    <t>2017 год, в том числе за счет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</si>
  <si>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</si>
  <si>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</si>
  <si>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</si>
  <si>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</si>
  <si>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</si>
  <si>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</si>
  <si>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</si>
  <si>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</si>
  <si>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</si>
  <si>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</si>
  <si>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</si>
  <si>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</si>
  <si>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</si>
  <si>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</si>
  <si>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</si>
  <si>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r>
      <t xml:space="preserve">Общее образование (подраздел 07.02)
</t>
    </r>
    <r>
      <rPr>
        <i/>
        <sz val="11"/>
        <rFont val="Times New Roman"/>
        <family val="1"/>
      </rPr>
      <t>2016 год в сопоставимых условиях</t>
    </r>
  </si>
  <si>
    <t>1.8</t>
  </si>
  <si>
    <t>1.9</t>
  </si>
  <si>
    <r>
      <t xml:space="preserve">Дополнительное образование детей (подраздел 07.03)
</t>
    </r>
    <r>
      <rPr>
        <i/>
        <sz val="11"/>
        <rFont val="Times New Roman"/>
        <family val="1"/>
      </rPr>
      <t>2016 год в сопоставимых условиях</t>
    </r>
  </si>
  <si>
    <t>Обслуживание муниципального долга (раздел 13.00)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</si>
  <si>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</si>
  <si>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</si>
  <si>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</si>
  <si>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</si>
  <si>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</si>
  <si>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</si>
  <si>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</si>
  <si>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</si>
  <si>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</si>
  <si>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</si>
  <si>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</si>
  <si>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</si>
  <si>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</si>
  <si>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</si>
  <si>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</si>
  <si>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</si>
  <si>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</si>
  <si>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</si>
  <si>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</si>
  <si>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</si>
  <si>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</si>
  <si>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</si>
  <si>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</si>
  <si>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</si>
  <si>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</si>
  <si>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</si>
  <si>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</si>
  <si>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</si>
  <si>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</si>
  <si>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</si>
  <si>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</si>
  <si>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</si>
  <si>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</si>
  <si>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Достаточен ли объем субвенций, получаемых из бюджета субъекта РФ, для выполнения в полном объеме и на требуемом уровне переданных государственных полномочий</t>
  </si>
  <si>
    <t>да/нет</t>
  </si>
  <si>
    <t>Объем расходов за счет собственных финансовых ресурсов, направляемых на выполнение переданных государственных полномочий</t>
  </si>
  <si>
    <t>3.12</t>
  </si>
  <si>
    <t>3.13</t>
  </si>
  <si>
    <t>3.14</t>
  </si>
  <si>
    <t>Объем просроченной кредиторской задолженности на начало отчетного периода</t>
  </si>
  <si>
    <t>3.15</t>
  </si>
  <si>
    <t>Объем просроченной кредиторской задолженности по заработной плате и начислениям на нее  на начало отчетного периода</t>
  </si>
  <si>
    <t>3.16</t>
  </si>
  <si>
    <t>Расходы на приобретение недвижимого имущества, строительство и реконструкцию муниципальной собственности</t>
  </si>
  <si>
    <t xml:space="preserve">Расходы бюджета МО на содержание органов местного самоуправления </t>
  </si>
  <si>
    <t>3.17</t>
  </si>
  <si>
    <t xml:space="preserve">Штатная численность работников органов местного самоуправления </t>
  </si>
  <si>
    <t>бюджетные кредиты из бюджета субъекта</t>
  </si>
  <si>
    <t>объем муниципального долга по ценным бумагам</t>
  </si>
  <si>
    <t>1.31</t>
  </si>
  <si>
    <t>3.18</t>
  </si>
  <si>
    <t>3.19</t>
  </si>
  <si>
    <t>3.20</t>
  </si>
  <si>
    <t>Среднемесячная начисленная заработная плата работников органов местного самоуправления</t>
  </si>
  <si>
    <t>3.21</t>
  </si>
  <si>
    <t>3.22</t>
  </si>
  <si>
    <t>3.23</t>
  </si>
  <si>
    <t>3.24</t>
  </si>
  <si>
    <t>3.25</t>
  </si>
  <si>
    <t>Количество органов местного самоуправления на начало отчетного периода</t>
  </si>
  <si>
    <t>Количество муниципальных учреждений (казенных, бюджетных, автономных) на начало отчетного периода</t>
  </si>
  <si>
    <t>Перечень переданных государственных  полномочий, на которые направляются собственные финансовые ресурсы</t>
  </si>
  <si>
    <t>Как планируется обеспечить повышение заработной платы работников муниципальных учреждений до МРОТ с 01.01.2018 и с 01.05.2018 (изменение системы оплаты труда в части установления отдельной доплаты, повышение окладов в рамках действующих систем оплаты; повышение только категориям, у которых заработная плата ниже МРОТ, или всем работникам пропорционально; иное (расшифровать))</t>
  </si>
  <si>
    <t>Как планируется обеспечить повышение заработной платы работников муниципальных учреждений до МРОТ (увеличение расходов отраслей, изыскание резервов внутри отраслей, например, за счет сокращения штатной численности; иное (расшифровать))</t>
  </si>
  <si>
    <t>Среднемесячная начисленная заработная плата работников организаций муниципального образования (в соответствии с данными статистики)</t>
  </si>
  <si>
    <t>Показатели</t>
  </si>
  <si>
    <t xml:space="preserve"> исполнения бюджета по доходам</t>
  </si>
  <si>
    <t>(для анкеты)</t>
  </si>
  <si>
    <t>Наименование показателей</t>
  </si>
  <si>
    <t>Ед.изм.</t>
  </si>
  <si>
    <t xml:space="preserve">Фактическое значение </t>
  </si>
  <si>
    <t>2016 год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</si>
  <si>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</si>
  <si>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</si>
  <si>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</si>
  <si>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</si>
  <si>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</si>
  <si>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</si>
  <si>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единый налог на вмененный доход для отдельных видов деятельности</t>
  </si>
  <si>
    <t>2.2.2</t>
  </si>
  <si>
    <t>налог, взимаемый в связи с применением патентной системы налогообложения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</si>
  <si>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</si>
  <si>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</si>
  <si>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</si>
  <si>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</si>
  <si>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</si>
  <si>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</si>
  <si>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</si>
  <si>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</si>
  <si>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</si>
  <si>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</si>
  <si>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Безвозмездные поступления от других бюджетов бюджетной системы РФ</t>
  </si>
  <si>
    <t>субвенции</t>
  </si>
  <si>
    <t>Прочие безвозмездные поступления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</si>
  <si>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</si>
  <si>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 и субвенций из бюджетов городских округов</t>
  </si>
  <si>
    <t>2.5</t>
  </si>
  <si>
    <t xml:space="preserve">Общая сумма задолженности по налогам (без учета пеней и штрафов) в бюджет муниципального образования (по состоянию на 01.01.2016, 01.01.2017, 01.01.2018)       </t>
  </si>
  <si>
    <t>из нее объем задолженности, приостановленной к взысканию</t>
  </si>
  <si>
    <t>2.6</t>
  </si>
  <si>
    <t>Объем списанной задолженности по налогам, поступающим в бюджет муниципального образования, признанной безнадежной к взысканию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</si>
  <si>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</si>
  <si>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</si>
  <si>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</si>
  <si>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01.01.2016, 01.01.2017, 01.01.2018) </t>
  </si>
  <si>
    <t>из нее передано на взыскание в службу судебных приставов</t>
  </si>
  <si>
    <t>2.9</t>
  </si>
  <si>
    <t>Объем списанной задолженности по неналоговым платежам, поступающим в бюджет муниципального образования, признанной безнадежной к взысканию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</si>
  <si>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</si>
  <si>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</si>
  <si>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</si>
  <si>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Количество налогоплательщиков, применяющих систему налогообложения в виде единого налога на вмененный доход</t>
  </si>
  <si>
    <t>единицы</t>
  </si>
  <si>
    <t>2.12</t>
  </si>
  <si>
    <t>Количество налогоплательщиков, применяющих патентную систему налогообложения</t>
  </si>
  <si>
    <t>2.13</t>
  </si>
  <si>
    <t>Сумма льгот по местным налогам, предоставленных в соответствии с федеральным законодательством, в том числе: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</si>
  <si>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</si>
  <si>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</si>
  <si>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</si>
  <si>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</si>
  <si>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</si>
  <si>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3.26</t>
  </si>
  <si>
    <t>3.27</t>
  </si>
  <si>
    <t>3.28</t>
  </si>
  <si>
    <t xml:space="preserve">Планируется ли предоставление финансовой помощи из субъекта на повышение оплаты труда в связи с изменением МРОТ с 01.01.2018 и 01.05.2018 </t>
  </si>
  <si>
    <t>Доля среднесрочных и долгосрочных кредитов (сверх 1 года) в структуре муниципального долга на конец отчетного года</t>
  </si>
  <si>
    <t>количество муниципальных учреждений общего образования на начало отчетного периода</t>
  </si>
  <si>
    <t>чел.</t>
  </si>
  <si>
    <t>Контингент обучающихся в муниципальных учреждениях дополнительного образования</t>
  </si>
  <si>
    <t>Контингент воспитанников в муниципальных учреждениях дошкольного образования</t>
  </si>
  <si>
    <t>количество муниципальных учреждений дошкольного образования на начало отчетного периода</t>
  </si>
  <si>
    <t>Контингент обучающихся в муниципальных учреждениях общего образования</t>
  </si>
  <si>
    <t>3.29</t>
  </si>
  <si>
    <t>Заполняется в случае положительного ответа на пункт 3.28</t>
  </si>
  <si>
    <t>3.30</t>
  </si>
  <si>
    <t>3.31</t>
  </si>
  <si>
    <t xml:space="preserve">Объем средств на доведение заработной платы до МРОТ с учетом его изменения с 01.01.2018 и 01.05.2018 </t>
  </si>
  <si>
    <t>3.32</t>
  </si>
  <si>
    <t>3.33</t>
  </si>
  <si>
    <t>Заполняется в случае, если в пункте 3.32 указывается необходимость увеличения расходов</t>
  </si>
  <si>
    <r>
      <t xml:space="preserve">количество муниципальных учреждений дополнительного образования на начало отчетного периода 
</t>
    </r>
    <r>
      <rPr>
        <i/>
        <sz val="11"/>
        <rFont val="Times New Roman"/>
        <family val="1"/>
      </rPr>
      <t>2016 год в сопоставимых условиях</t>
    </r>
  </si>
  <si>
    <t>Предоставляется ли помощь из бюджета субъекта на реализацию указов Президента РФ в части повышения заработной платы работникам социальной сферы?</t>
  </si>
  <si>
    <t>Обеспечивает ли объем средств, предоставляемых из бюджета субъекта РФ, полную потребность в средствах на повышение заработной платы по указам Президента РФ</t>
  </si>
  <si>
    <t>Количество немуниципальных организаций дошкольного образования, получающих средства из бюджета МО, на начало отчетного периода</t>
  </si>
  <si>
    <r>
      <t xml:space="preserve">Доходы бюджета муниципального образования </t>
    </r>
    <r>
      <rPr>
        <i/>
        <sz val="14"/>
        <rFont val="Times New Roman"/>
        <family val="1"/>
      </rPr>
      <t>(пп 2.2+2.6+2.7)</t>
    </r>
  </si>
  <si>
    <t>налог на доходы физических лиц</t>
  </si>
  <si>
    <t>в том числе поступления по дополнительному нормативу</t>
  </si>
  <si>
    <t>2.2.5</t>
  </si>
  <si>
    <t>Налоги, передаваемые в соответствии с нормативно-правовыми актами субъектов РФ всего</t>
  </si>
  <si>
    <t>тыс. руб.</t>
  </si>
  <si>
    <t>из них по видам налогов (с указанием норматива отчисления)</t>
  </si>
  <si>
    <t>Возмещено из бюджета налога на доходы физических лиц (по сведениям информационного массива данных, предоставляемых налоговыми органами)</t>
  </si>
  <si>
    <t>тыс. руб</t>
  </si>
  <si>
    <t>Налоговые доходы, собранные с территории муниципального образования (зачисляемые во все уровни бюджетов)</t>
  </si>
  <si>
    <t>2.6.1</t>
  </si>
  <si>
    <t>2.6.2</t>
  </si>
  <si>
    <r>
      <t xml:space="preserve">Безвозмездные поступления в бюджет муниципального образования, всего                            </t>
    </r>
    <r>
      <rPr>
        <i/>
        <sz val="14"/>
        <rFont val="Times New Roman"/>
        <family val="1"/>
      </rPr>
      <t>(пп 2.7.1+2.7.2+2.7.3+2.7.4)</t>
    </r>
  </si>
  <si>
    <t>2.7.1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</si>
  <si>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</si>
  <si>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</si>
  <si>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субсидии, межбюджетные трансферты</t>
  </si>
  <si>
    <t>2.7.2.</t>
  </si>
  <si>
    <t>2.7.3</t>
  </si>
  <si>
    <t>2.7.4</t>
  </si>
  <si>
    <t>2.15</t>
  </si>
  <si>
    <t>2.16</t>
  </si>
  <si>
    <t>2.16.1</t>
  </si>
  <si>
    <t>2.16.2</t>
  </si>
  <si>
    <t>2.17</t>
  </si>
  <si>
    <t>10,2573-14,75</t>
  </si>
  <si>
    <t>8,9375-12,4275</t>
  </si>
  <si>
    <t>НДФЛ по ед. нормативам (п.3 ст.58 БК) 15%</t>
  </si>
  <si>
    <t>НДФЛ по ед. нормативам  (п.3 ст.58 БК, 78-6-ОЗ) 5%</t>
  </si>
  <si>
    <t>акцизы (бензин, ДТ, масла) по диффер. Нормативам (п.3.1 ст.58 БК) (2016 - 0,29909%; 2017 - 0,30543%; 2018 - 0,30824%</t>
  </si>
  <si>
    <t>НДФЛ по доп. нормативу (п.3 ст.58 БК) 2016 - 0,81%; 2017 - 0,74%; 2018 - 0,7%.</t>
  </si>
  <si>
    <t>10,4 (учтено при планировании)</t>
  </si>
  <si>
    <t>МО «Северодвинск»</t>
  </si>
  <si>
    <t>План                  на 2018 год (первоначальный план)</t>
  </si>
  <si>
    <t>да</t>
  </si>
  <si>
    <t>средства местного бюджета на доплату низкооплачиваемым работникам, занятым на полной ставке в муниципальных бюджетных и автономных учреждениях, до минимального размера, установленного законодательством, утверждены по отдельной целевой статье</t>
  </si>
  <si>
    <t>объем бюджетных средств на доплаты по состоянию на 01.03.2018 составляет 107 398,5 тыс. руб., (в первоначальном бюджете - 26 734,5 тыс. руб.), потребность - 79 491,6 тыс. руб.</t>
  </si>
  <si>
    <t>распоряжением Администрации Северодвинска от 06.03.2018 № 41-ра утвержден план мероприятий «дорожная карта» по доведению уровня оплаты труда работников до МРОТ*2,2, в которой предусмотрено в том числе проведение оптимизационных мероприятий</t>
  </si>
  <si>
    <t xml:space="preserve">вспомогательный персонал 1 квалификационного уровня составляет 50% численности и 40% фонда оплаты труда всех работников муниципальных учреждений, содержащихся за счет местного бюджета,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</si>
</sst>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2" fillId="33" borderId="10" xfId="0" applyNumberFormat="1" applyFont="1" applyFill="1" applyBorder="1" applyAlignment="1">
      <alignment/>
    </xf>
    <xf numFmtId="173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49" fontId="2" fillId="33" borderId="13" xfId="0" applyNumberFormat="1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49" fontId="2" fillId="33" borderId="15" xfId="0" applyNumberFormat="1" applyFont="1" applyFill="1" applyBorder="1" applyAlignment="1">
      <alignment wrapText="1"/>
    </xf>
    <xf numFmtId="172" fontId="2" fillId="33" borderId="12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 wrapText="1"/>
    </xf>
    <xf numFmtId="0" fontId="2" fillId="33" borderId="16" xfId="0" applyNumberFormat="1" applyFont="1" applyFill="1" applyBorder="1" applyAlignment="1">
      <alignment wrapText="1"/>
    </xf>
    <xf numFmtId="0" fontId="2" fillId="0" borderId="16" xfId="0" applyNumberFormat="1" applyFont="1" applyBorder="1" applyAlignment="1">
      <alignment wrapText="1"/>
    </xf>
    <xf numFmtId="172" fontId="2" fillId="0" borderId="14" xfId="0" applyNumberFormat="1" applyFont="1" applyBorder="1" applyAlignment="1">
      <alignment/>
    </xf>
    <xf numFmtId="0" fontId="2" fillId="0" borderId="15" xfId="0" applyNumberFormat="1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2" fillId="33" borderId="15" xfId="0" applyNumberFormat="1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33" borderId="20" xfId="0" applyNumberFormat="1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7" fillId="0" borderId="17" xfId="0" applyNumberFormat="1" applyFont="1" applyFill="1" applyBorder="1" applyAlignment="1">
      <alignment horizontal="center"/>
    </xf>
    <xf numFmtId="0" fontId="7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5" xfId="0" applyNumberFormat="1" applyFont="1" applyFill="1" applyBorder="1" applyAlignment="1">
      <alignment wrapText="1"/>
    </xf>
    <xf numFmtId="0" fontId="7" fillId="0" borderId="12" xfId="0" applyFont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wrapText="1"/>
    </xf>
    <xf numFmtId="172" fontId="2" fillId="0" borderId="12" xfId="0" applyNumberFormat="1" applyFont="1" applyFill="1" applyBorder="1" applyAlignment="1" applyProtection="1">
      <alignment/>
      <protection locked="0"/>
    </xf>
    <xf numFmtId="172" fontId="2" fillId="0" borderId="14" xfId="0" applyNumberFormat="1" applyFont="1" applyFill="1" applyBorder="1" applyAlignment="1" applyProtection="1">
      <alignment/>
      <protection locked="0"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4" xfId="0" applyNumberFormat="1" applyFont="1" applyBorder="1" applyAlignment="1" applyProtection="1">
      <alignment/>
      <protection locked="0"/>
    </xf>
    <xf numFmtId="172" fontId="2" fillId="0" borderId="12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 locked="0"/>
    </xf>
    <xf numFmtId="172" fontId="7" fillId="0" borderId="10" xfId="0" applyNumberFormat="1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 locked="0"/>
    </xf>
    <xf numFmtId="49" fontId="2" fillId="0" borderId="2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172" fontId="2" fillId="0" borderId="11" xfId="0" applyNumberFormat="1" applyFont="1" applyBorder="1" applyAlignment="1" applyProtection="1">
      <alignment/>
      <protection locked="0"/>
    </xf>
    <xf numFmtId="0" fontId="6" fillId="0" borderId="20" xfId="0" applyNumberFormat="1" applyFont="1" applyBorder="1" applyAlignment="1">
      <alignment wrapText="1"/>
    </xf>
    <xf numFmtId="49" fontId="2" fillId="0" borderId="22" xfId="0" applyNumberFormat="1" applyFont="1" applyFill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24" xfId="0" applyNumberFormat="1" applyFont="1" applyBorder="1" applyAlignment="1">
      <alignment wrapText="1"/>
    </xf>
    <xf numFmtId="49" fontId="7" fillId="0" borderId="2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172" fontId="7" fillId="0" borderId="11" xfId="0" applyNumberFormat="1" applyFont="1" applyFill="1" applyBorder="1" applyAlignment="1" applyProtection="1">
      <alignment/>
      <protection locked="0"/>
    </xf>
    <xf numFmtId="0" fontId="2" fillId="0" borderId="20" xfId="0" applyNumberFormat="1" applyFont="1" applyFill="1" applyBorder="1" applyAlignment="1">
      <alignment wrapText="1"/>
    </xf>
    <xf numFmtId="49" fontId="7" fillId="0" borderId="22" xfId="0" applyNumberFormat="1" applyFont="1" applyFill="1" applyBorder="1" applyAlignment="1">
      <alignment horizontal="center"/>
    </xf>
    <xf numFmtId="0" fontId="7" fillId="0" borderId="23" xfId="0" applyFont="1" applyBorder="1" applyAlignment="1">
      <alignment wrapText="1"/>
    </xf>
    <xf numFmtId="0" fontId="7" fillId="0" borderId="23" xfId="0" applyFont="1" applyBorder="1" applyAlignment="1">
      <alignment horizontal="center"/>
    </xf>
    <xf numFmtId="172" fontId="7" fillId="0" borderId="23" xfId="0" applyNumberFormat="1" applyFont="1" applyFill="1" applyBorder="1" applyAlignment="1" applyProtection="1">
      <alignment/>
      <protection locked="0"/>
    </xf>
    <xf numFmtId="172" fontId="7" fillId="0" borderId="10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wrapText="1"/>
    </xf>
    <xf numFmtId="0" fontId="6" fillId="0" borderId="20" xfId="0" applyNumberFormat="1" applyFont="1" applyFill="1" applyBorder="1" applyAlignment="1">
      <alignment wrapText="1"/>
    </xf>
    <xf numFmtId="172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 applyProtection="1">
      <alignment/>
      <protection locked="0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/>
    </xf>
    <xf numFmtId="0" fontId="4" fillId="0" borderId="0" xfId="52" applyFont="1">
      <alignment/>
      <protection/>
    </xf>
    <xf numFmtId="0" fontId="10" fillId="0" borderId="10" xfId="52" applyFont="1" applyBorder="1" applyAlignment="1">
      <alignment horizontal="center" vertical="center" wrapText="1"/>
      <protection/>
    </xf>
    <xf numFmtId="49" fontId="11" fillId="34" borderId="10" xfId="52" applyNumberFormat="1" applyFont="1" applyFill="1" applyBorder="1" applyAlignment="1">
      <alignment horizontal="center" vertical="center" wrapText="1"/>
      <protection/>
    </xf>
    <xf numFmtId="0" fontId="12" fillId="34" borderId="10" xfId="52" applyFont="1" applyFill="1" applyBorder="1" applyAlignment="1">
      <alignment horizontal="left" vertical="center" wrapText="1"/>
      <protection/>
    </xf>
    <xf numFmtId="0" fontId="11" fillId="34" borderId="23" xfId="52" applyFont="1" applyFill="1" applyBorder="1" applyAlignment="1">
      <alignment horizontal="center" vertical="center"/>
      <protection/>
    </xf>
    <xf numFmtId="0" fontId="13" fillId="34" borderId="10" xfId="52" applyFont="1" applyFill="1" applyBorder="1" applyAlignment="1">
      <alignment horizontal="center" vertical="center" wrapText="1"/>
      <protection/>
    </xf>
    <xf numFmtId="0" fontId="11" fillId="34" borderId="23" xfId="52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horizontal="left"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16" fillId="0" borderId="10" xfId="52" applyFont="1" applyFill="1" applyBorder="1" applyAlignment="1">
      <alignment horizontal="left" vertical="center" wrapText="1"/>
      <protection/>
    </xf>
    <xf numFmtId="49" fontId="15" fillId="0" borderId="10" xfId="52" applyNumberFormat="1" applyFont="1" applyFill="1" applyBorder="1" applyAlignment="1">
      <alignment horizontal="center" vertical="center" wrapText="1"/>
      <protection/>
    </xf>
    <xf numFmtId="0" fontId="15" fillId="0" borderId="10" xfId="52" applyFont="1" applyFill="1" applyBorder="1" applyAlignment="1">
      <alignment horizontal="left" vertical="center" wrapText="1"/>
      <protection/>
    </xf>
    <xf numFmtId="0" fontId="17" fillId="0" borderId="10" xfId="52" applyFont="1" applyFill="1" applyBorder="1" applyAlignment="1">
      <alignment horizontal="center" vertical="center" wrapText="1"/>
      <protection/>
    </xf>
    <xf numFmtId="0" fontId="18" fillId="0" borderId="10" xfId="52" applyFont="1" applyFill="1" applyBorder="1" applyAlignment="1">
      <alignment horizontal="center" vertical="center"/>
      <protection/>
    </xf>
    <xf numFmtId="0" fontId="16" fillId="0" borderId="26" xfId="52" applyFont="1" applyFill="1" applyBorder="1" applyAlignment="1">
      <alignment horizontal="left" vertical="center" wrapText="1"/>
      <protection/>
    </xf>
    <xf numFmtId="0" fontId="15" fillId="0" borderId="26" xfId="52" applyFont="1" applyFill="1" applyBorder="1" applyAlignment="1">
      <alignment vertical="center" wrapText="1"/>
      <protection/>
    </xf>
    <xf numFmtId="0" fontId="17" fillId="0" borderId="26" xfId="52" applyFont="1" applyFill="1" applyBorder="1" applyAlignment="1">
      <alignment vertical="center" wrapText="1"/>
      <protection/>
    </xf>
    <xf numFmtId="0" fontId="16" fillId="0" borderId="10" xfId="52" applyFont="1" applyFill="1" applyBorder="1" applyAlignment="1">
      <alignment horizontal="center" vertical="center" wrapText="1"/>
      <protection/>
    </xf>
    <xf numFmtId="4" fontId="14" fillId="0" borderId="10" xfId="52" applyNumberFormat="1" applyFont="1" applyFill="1" applyBorder="1" applyAlignment="1">
      <alignment horizontal="left" vertical="center" wrapText="1"/>
      <protection/>
    </xf>
    <xf numFmtId="4" fontId="16" fillId="0" borderId="10" xfId="52" applyNumberFormat="1" applyFont="1" applyFill="1" applyBorder="1" applyAlignment="1">
      <alignment horizontal="left" vertical="center" wrapText="1"/>
      <protection/>
    </xf>
    <xf numFmtId="49" fontId="14" fillId="0" borderId="10" xfId="52" applyNumberFormat="1" applyFont="1" applyFill="1" applyBorder="1" applyAlignment="1">
      <alignment horizontal="center" vertical="center" wrapText="1"/>
      <protection/>
    </xf>
    <xf numFmtId="49" fontId="10" fillId="0" borderId="10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wrapText="1"/>
      <protection/>
    </xf>
    <xf numFmtId="0" fontId="18" fillId="0" borderId="0" xfId="52" applyFont="1">
      <alignment/>
      <protection/>
    </xf>
    <xf numFmtId="0" fontId="4" fillId="0" borderId="0" xfId="52" applyFont="1" applyAlignment="1">
      <alignment vertical="center"/>
      <protection/>
    </xf>
    <xf numFmtId="0" fontId="19" fillId="0" borderId="0" xfId="52" applyFont="1" applyAlignment="1">
      <alignment horizontal="center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wrapText="1"/>
      <protection/>
    </xf>
    <xf numFmtId="0" fontId="19" fillId="0" borderId="0" xfId="52" applyFont="1" applyAlignment="1">
      <alignment wrapText="1"/>
      <protection/>
    </xf>
    <xf numFmtId="0" fontId="4" fillId="0" borderId="0" xfId="52" applyFont="1" applyAlignment="1">
      <alignment horizontal="left" vertical="center"/>
      <protection/>
    </xf>
    <xf numFmtId="49" fontId="4" fillId="0" borderId="0" xfId="52" applyNumberFormat="1" applyFont="1" applyAlignment="1">
      <alignment horizontal="center" vertical="center"/>
      <protection/>
    </xf>
    <xf numFmtId="0" fontId="7" fillId="33" borderId="15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horizontal="center"/>
    </xf>
    <xf numFmtId="49" fontId="7" fillId="0" borderId="14" xfId="0" applyNumberFormat="1" applyFont="1" applyFill="1" applyBorder="1" applyAlignment="1" applyProtection="1">
      <alignment/>
      <protection locked="0"/>
    </xf>
    <xf numFmtId="49" fontId="7" fillId="0" borderId="14" xfId="0" applyNumberFormat="1" applyFont="1" applyFill="1" applyBorder="1" applyAlignment="1">
      <alignment horizontal="center" vertical="center"/>
    </xf>
    <xf numFmtId="0" fontId="7" fillId="33" borderId="16" xfId="0" applyNumberFormat="1" applyFont="1" applyFill="1" applyBorder="1" applyAlignment="1">
      <alignment wrapText="1"/>
    </xf>
    <xf numFmtId="172" fontId="7" fillId="0" borderId="14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/>
    </xf>
    <xf numFmtId="172" fontId="7" fillId="0" borderId="28" xfId="0" applyNumberFormat="1" applyFont="1" applyFill="1" applyBorder="1" applyAlignment="1" applyProtection="1">
      <alignment/>
      <protection locked="0"/>
    </xf>
    <xf numFmtId="0" fontId="2" fillId="33" borderId="29" xfId="0" applyNumberFormat="1" applyFont="1" applyFill="1" applyBorder="1" applyAlignment="1">
      <alignment wrapText="1"/>
    </xf>
    <xf numFmtId="172" fontId="7" fillId="0" borderId="23" xfId="0" applyNumberFormat="1" applyFont="1" applyFill="1" applyBorder="1" applyAlignment="1" applyProtection="1">
      <alignment horizontal="center" vertical="center"/>
      <protection/>
    </xf>
    <xf numFmtId="0" fontId="2" fillId="33" borderId="25" xfId="0" applyNumberFormat="1" applyFont="1" applyFill="1" applyBorder="1" applyAlignment="1">
      <alignment wrapText="1"/>
    </xf>
    <xf numFmtId="172" fontId="7" fillId="0" borderId="12" xfId="0" applyNumberFormat="1" applyFont="1" applyFill="1" applyBorder="1" applyAlignment="1" applyProtection="1">
      <alignment horizontal="center"/>
      <protection locked="0"/>
    </xf>
    <xf numFmtId="172" fontId="7" fillId="0" borderId="12" xfId="0" applyNumberFormat="1" applyFont="1" applyBorder="1" applyAlignment="1" applyProtection="1">
      <alignment wrapText="1"/>
      <protection locked="0"/>
    </xf>
    <xf numFmtId="172" fontId="7" fillId="0" borderId="12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0" fontId="7" fillId="0" borderId="31" xfId="0" applyFont="1" applyBorder="1" applyAlignment="1">
      <alignment wrapText="1"/>
    </xf>
    <xf numFmtId="0" fontId="2" fillId="33" borderId="24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3" fontId="7" fillId="0" borderId="10" xfId="0" applyNumberFormat="1" applyFont="1" applyFill="1" applyBorder="1" applyAlignment="1" applyProtection="1">
      <alignment/>
      <protection locked="0"/>
    </xf>
    <xf numFmtId="3" fontId="7" fillId="0" borderId="23" xfId="0" applyNumberFormat="1" applyFont="1" applyFill="1" applyBorder="1" applyAlignment="1" applyProtection="1">
      <alignment/>
      <protection locked="0"/>
    </xf>
    <xf numFmtId="0" fontId="4" fillId="0" borderId="0" xfId="52" applyFont="1" applyAlignment="1">
      <alignment horizontal="center"/>
      <protection/>
    </xf>
    <xf numFmtId="49" fontId="2" fillId="0" borderId="23" xfId="0" applyNumberFormat="1" applyFont="1" applyBorder="1" applyAlignment="1" applyProtection="1">
      <alignment wrapText="1"/>
      <protection locked="0"/>
    </xf>
    <xf numFmtId="0" fontId="4" fillId="0" borderId="10" xfId="52" applyFont="1" applyBorder="1">
      <alignment/>
      <protection/>
    </xf>
    <xf numFmtId="0" fontId="4" fillId="0" borderId="10" xfId="52" applyFont="1" applyBorder="1" applyAlignment="1">
      <alignment wrapText="1"/>
      <protection/>
    </xf>
    <xf numFmtId="49" fontId="2" fillId="0" borderId="23" xfId="0" applyNumberFormat="1" applyFont="1" applyFill="1" applyBorder="1" applyAlignment="1" applyProtection="1">
      <alignment wrapText="1"/>
      <protection locked="0"/>
    </xf>
    <xf numFmtId="0" fontId="14" fillId="0" borderId="10" xfId="52" applyFont="1" applyFill="1" applyBorder="1" applyAlignment="1">
      <alignment horizontal="center" vertical="center"/>
      <protection/>
    </xf>
    <xf numFmtId="172" fontId="2" fillId="0" borderId="10" xfId="0" applyNumberFormat="1" applyFont="1" applyFill="1" applyBorder="1" applyAlignment="1" applyProtection="1">
      <alignment/>
      <protection locked="0"/>
    </xf>
    <xf numFmtId="0" fontId="7" fillId="0" borderId="13" xfId="0" applyNumberFormat="1" applyFont="1" applyFill="1" applyBorder="1" applyAlignment="1">
      <alignment wrapText="1"/>
    </xf>
    <xf numFmtId="0" fontId="7" fillId="0" borderId="16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wrapText="1"/>
    </xf>
    <xf numFmtId="0" fontId="4" fillId="0" borderId="0" xfId="52" applyFont="1" applyAlignment="1">
      <alignment horizontal="center"/>
      <protection/>
    </xf>
    <xf numFmtId="49" fontId="9" fillId="0" borderId="33" xfId="52" applyNumberFormat="1" applyFont="1" applyBorder="1" applyAlignment="1">
      <alignment horizontal="center" vertical="center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23" xfId="52" applyFont="1" applyBorder="1" applyAlignment="1">
      <alignment horizontal="center" vertical="center"/>
      <protection/>
    </xf>
    <xf numFmtId="0" fontId="4" fillId="0" borderId="34" xfId="52" applyFont="1" applyBorder="1" applyAlignment="1">
      <alignment horizontal="center" vertical="center" wrapText="1"/>
      <protection/>
    </xf>
    <xf numFmtId="0" fontId="4" fillId="0" borderId="26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23" xfId="52" applyFont="1" applyBorder="1" applyAlignment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72" fontId="7" fillId="0" borderId="36" xfId="0" applyNumberFormat="1" applyFont="1" applyFill="1" applyBorder="1" applyAlignment="1" applyProtection="1">
      <alignment horizontal="center"/>
      <protection locked="0"/>
    </xf>
    <xf numFmtId="172" fontId="7" fillId="0" borderId="37" xfId="0" applyNumberFormat="1" applyFont="1" applyFill="1" applyBorder="1" applyAlignment="1" applyProtection="1">
      <alignment horizontal="center"/>
      <protection locked="0"/>
    </xf>
    <xf numFmtId="172" fontId="7" fillId="0" borderId="14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F40" sqref="F40"/>
    </sheetView>
  </sheetViews>
  <sheetFormatPr defaultColWidth="9.140625" defaultRowHeight="15"/>
  <cols>
    <col min="1" max="1" width="4.421875" style="1" customWidth="1"/>
    <col min="2" max="2" width="38.57421875" style="1" customWidth="1"/>
    <col min="3" max="3" width="10.7109375" style="1" customWidth="1"/>
    <col min="4" max="4" width="11.57421875" style="1" customWidth="1"/>
    <col min="5" max="5" width="14.140625" style="1" customWidth="1"/>
    <col min="6" max="6" width="16.421875" style="1" customWidth="1"/>
    <col min="7" max="7" width="45.8515625" style="1" customWidth="1"/>
    <col min="8" max="8" width="18.421875" style="1" customWidth="1"/>
    <col min="9" max="16384" width="9.140625" style="1" customWidth="1"/>
  </cols>
  <sheetData>
    <row r="1" spans="2:6" ht="57.75" customHeight="1">
      <c r="B1" s="153" t="s">
        <v>29</v>
      </c>
      <c r="C1" s="154"/>
      <c r="D1" s="154"/>
      <c r="E1" s="154"/>
      <c r="F1" s="154"/>
    </row>
    <row r="2" spans="2:6" ht="24.75" customHeight="1">
      <c r="B2" s="157" t="s">
        <v>246</v>
      </c>
      <c r="C2" s="157"/>
      <c r="D2" s="157"/>
      <c r="E2" s="157"/>
      <c r="F2" s="157"/>
    </row>
    <row r="3" spans="2:6" ht="20.25" customHeight="1">
      <c r="B3" s="156" t="s">
        <v>27</v>
      </c>
      <c r="C3" s="156"/>
      <c r="D3" s="156"/>
      <c r="E3" s="156"/>
      <c r="F3" s="156"/>
    </row>
    <row r="4" spans="2:6" ht="29.25" customHeight="1">
      <c r="B4" s="154" t="s">
        <v>26</v>
      </c>
      <c r="C4" s="154"/>
      <c r="D4" s="154"/>
      <c r="E4" s="154"/>
      <c r="F4" s="154"/>
    </row>
    <row r="5" ht="15">
      <c r="F5" s="2"/>
    </row>
    <row r="6" spans="1:7" ht="15">
      <c r="A6" s="151" t="s">
        <v>28</v>
      </c>
      <c r="B6" s="151" t="s">
        <v>1</v>
      </c>
      <c r="C6" s="151" t="s">
        <v>2</v>
      </c>
      <c r="D6" s="155" t="s">
        <v>12</v>
      </c>
      <c r="E6" s="155"/>
      <c r="F6" s="151" t="s">
        <v>42</v>
      </c>
      <c r="G6" s="151" t="s">
        <v>32</v>
      </c>
    </row>
    <row r="7" spans="1:7" ht="57" customHeight="1" thickBot="1">
      <c r="A7" s="152"/>
      <c r="B7" s="152"/>
      <c r="C7" s="152"/>
      <c r="D7" s="9" t="s">
        <v>30</v>
      </c>
      <c r="E7" s="9" t="s">
        <v>31</v>
      </c>
      <c r="F7" s="152"/>
      <c r="G7" s="152"/>
    </row>
    <row r="8" spans="1:7" ht="37.5" customHeight="1">
      <c r="A8" s="27" t="s">
        <v>52</v>
      </c>
      <c r="B8" s="10" t="s">
        <v>4</v>
      </c>
      <c r="C8" s="11" t="s">
        <v>3</v>
      </c>
      <c r="D8" s="52">
        <v>185.6</v>
      </c>
      <c r="E8" s="52">
        <v>184.6</v>
      </c>
      <c r="F8" s="52">
        <v>183.6</v>
      </c>
      <c r="G8" s="12"/>
    </row>
    <row r="9" spans="1:9" ht="47.25" customHeight="1" thickBot="1">
      <c r="A9" s="28" t="s">
        <v>54</v>
      </c>
      <c r="B9" s="13" t="s">
        <v>10</v>
      </c>
      <c r="C9" s="14" t="s">
        <v>11</v>
      </c>
      <c r="D9" s="53">
        <v>166.1</v>
      </c>
      <c r="E9" s="53">
        <v>166.1</v>
      </c>
      <c r="F9" s="53">
        <v>166.1</v>
      </c>
      <c r="G9" s="15" t="str">
        <f>IF(OR(D9&gt;800,E9&gt;800,F9&gt;800),"ОШИБКА: единицы измерения - км"," ")</f>
        <v> </v>
      </c>
      <c r="I9" s="8"/>
    </row>
    <row r="10" spans="1:7" ht="60" customHeight="1">
      <c r="A10" s="27" t="s">
        <v>56</v>
      </c>
      <c r="B10" s="10" t="s">
        <v>13</v>
      </c>
      <c r="C10" s="11" t="s">
        <v>0</v>
      </c>
      <c r="D10" s="16">
        <f>D12+D13</f>
        <v>6020019.3</v>
      </c>
      <c r="E10" s="16">
        <f>E12+E13</f>
        <v>6352820.8</v>
      </c>
      <c r="F10" s="16">
        <f>F12+F13</f>
        <v>5588719.699999999</v>
      </c>
      <c r="G10" s="17">
        <f>IF(((D8-TRUNC(D8,1))+(E8-TRUNC(E8,1))+(F8-TRUNC(F8,1))+(D9-TRUNC(D9,1))+(E9-TRUNC(E9,1))+(F9-TRUNC(F9,1))+(D12-TRUNC(D12,1))+(E12-TRUNC(E12,1))+(F12-TRUNC(F12,1))+(D13-TRUNC(D13,1))+(E13-TRUNC(E13,1))+(F13-TRUNC(F13,1)))&gt;0,"ОШИБКА: в строках 1.1-1.5 точность должна быть - один знак после запятой","")</f>
      </c>
    </row>
    <row r="11" spans="1:7" ht="14.25" customHeight="1">
      <c r="A11" s="29"/>
      <c r="B11" s="4" t="s">
        <v>18</v>
      </c>
      <c r="C11" s="6"/>
      <c r="D11" s="7"/>
      <c r="E11" s="7"/>
      <c r="F11" s="7"/>
      <c r="G11" s="18">
        <f>IF(OR(D10&gt;20000000,E10&gt;20000000,F10&gt;20000000),"ОШИБКА: в строках 1.4,1.5 единица измерения - тыс.руб","")</f>
      </c>
    </row>
    <row r="12" spans="1:7" ht="16.5" customHeight="1">
      <c r="A12" s="29" t="s">
        <v>58</v>
      </c>
      <c r="B12" s="3" t="s">
        <v>19</v>
      </c>
      <c r="C12" s="6" t="s">
        <v>0</v>
      </c>
      <c r="D12" s="54">
        <v>3185791.3</v>
      </c>
      <c r="E12" s="54">
        <v>3399457.3</v>
      </c>
      <c r="F12" s="54">
        <v>3312774.9</v>
      </c>
      <c r="G12" s="19"/>
    </row>
    <row r="13" spans="1:7" ht="15.75" customHeight="1" thickBot="1">
      <c r="A13" s="28" t="s">
        <v>59</v>
      </c>
      <c r="B13" s="13" t="s">
        <v>20</v>
      </c>
      <c r="C13" s="14" t="s">
        <v>0</v>
      </c>
      <c r="D13" s="55">
        <v>2834228</v>
      </c>
      <c r="E13" s="55">
        <v>2953363.5</v>
      </c>
      <c r="F13" s="55">
        <v>2275944.8</v>
      </c>
      <c r="G13" s="21"/>
    </row>
    <row r="14" spans="1:7" ht="34.5" customHeight="1">
      <c r="A14" s="27" t="s">
        <v>60</v>
      </c>
      <c r="B14" s="10" t="s">
        <v>5</v>
      </c>
      <c r="C14" s="11" t="s">
        <v>0</v>
      </c>
      <c r="D14" s="16">
        <f>D16+D17</f>
        <v>6242511.9</v>
      </c>
      <c r="E14" s="16">
        <f>E16+E17</f>
        <v>6347563.800000001</v>
      </c>
      <c r="F14" s="16">
        <f>F16+F17</f>
        <v>5607893.6</v>
      </c>
      <c r="G14" s="17">
        <f>IF(((D16-TRUNC(D16,1))+(E16-TRUNC(E16,1))+(F16-TRUNC(F16,1))+(D17-TRUNC(D17,1))+(E17-TRUNC(E17,1))+(F17-TRUNC(F17,1)))&gt;0,"ОШИБКА: в строках 1.7,1.8 точность должна быть - один знак после запятой","")</f>
      </c>
    </row>
    <row r="15" spans="1:7" ht="15">
      <c r="A15" s="29"/>
      <c r="B15" s="4" t="s">
        <v>23</v>
      </c>
      <c r="C15" s="6"/>
      <c r="D15" s="7"/>
      <c r="E15" s="7"/>
      <c r="F15" s="7"/>
      <c r="G15" s="18">
        <f>IF(OR(D14&gt;21000000,E14&gt;21000000,F14&gt;21000000),"ОШИБКА: в строках 1.7,1.8 единица измерения - тыс.руб","")</f>
      </c>
    </row>
    <row r="16" spans="1:7" ht="15">
      <c r="A16" s="29" t="s">
        <v>61</v>
      </c>
      <c r="B16" s="3" t="s">
        <v>21</v>
      </c>
      <c r="C16" s="6" t="s">
        <v>0</v>
      </c>
      <c r="D16" s="148">
        <v>3049458.7</v>
      </c>
      <c r="E16" s="148">
        <v>2976810.1</v>
      </c>
      <c r="F16" s="148">
        <v>2275944.8</v>
      </c>
      <c r="G16" s="19"/>
    </row>
    <row r="17" spans="1:7" ht="15.75" thickBot="1">
      <c r="A17" s="28" t="s">
        <v>65</v>
      </c>
      <c r="B17" s="13" t="s">
        <v>22</v>
      </c>
      <c r="C17" s="14" t="s">
        <v>0</v>
      </c>
      <c r="D17" s="53">
        <v>3193053.2</v>
      </c>
      <c r="E17" s="53">
        <v>3370753.7</v>
      </c>
      <c r="F17" s="53">
        <v>3331948.8</v>
      </c>
      <c r="G17" s="21"/>
    </row>
    <row r="18" spans="1:7" ht="39" customHeight="1">
      <c r="A18" s="30" t="s">
        <v>66</v>
      </c>
      <c r="B18" s="10" t="s">
        <v>6</v>
      </c>
      <c r="C18" s="11" t="s">
        <v>0</v>
      </c>
      <c r="D18" s="16">
        <f>D10-D14</f>
        <v>-222492.60000000056</v>
      </c>
      <c r="E18" s="16">
        <f>E10-E14</f>
        <v>5256.999999999069</v>
      </c>
      <c r="F18" s="16">
        <f>F10-F14</f>
        <v>-19173.900000000373</v>
      </c>
      <c r="G18" s="17"/>
    </row>
    <row r="19" spans="1:9" ht="51" customHeight="1">
      <c r="A19" s="31" t="s">
        <v>69</v>
      </c>
      <c r="B19" s="3" t="s">
        <v>7</v>
      </c>
      <c r="C19" s="6" t="s">
        <v>0</v>
      </c>
      <c r="D19" s="7">
        <f>D21+D24+D27+D30+D31+D32</f>
        <v>222492.6</v>
      </c>
      <c r="E19" s="7">
        <f>E21+E24+E27+E30+E31+E32</f>
        <v>-5257</v>
      </c>
      <c r="F19" s="7">
        <f>F21+F24+F27+F30+F31+F32</f>
        <v>19173.9</v>
      </c>
      <c r="G19" s="18"/>
      <c r="I19" s="8"/>
    </row>
    <row r="20" spans="1:7" ht="15.75" thickBot="1">
      <c r="A20" s="32"/>
      <c r="B20" s="22" t="s">
        <v>24</v>
      </c>
      <c r="C20" s="14"/>
      <c r="D20" s="20"/>
      <c r="E20" s="20"/>
      <c r="F20" s="20"/>
      <c r="G20" s="21"/>
    </row>
    <row r="21" spans="1:7" ht="38.25" customHeight="1">
      <c r="A21" s="30" t="s">
        <v>70</v>
      </c>
      <c r="B21" s="10" t="s">
        <v>8</v>
      </c>
      <c r="C21" s="11" t="s">
        <v>0</v>
      </c>
      <c r="D21" s="16">
        <f>D22-D23</f>
        <v>50000</v>
      </c>
      <c r="E21" s="16">
        <f>E22-E23</f>
        <v>-20000</v>
      </c>
      <c r="F21" s="16">
        <f>F22-F23</f>
        <v>0</v>
      </c>
      <c r="G21" s="17">
        <f>IF(((D22-TRUNC(D22,1))+(E22-TRUNC(E22,1))+(F22-TRUNC(F22,1))+(D23-TRUNC(D23,1))+(E23-TRUNC(E23,1))+(F23-TRUNC(F23,1)))&gt;0,"ОШИБКА: в строках 1.12,1.13 точность должна быть - один знак после запятой","")</f>
      </c>
    </row>
    <row r="22" spans="1:7" ht="30">
      <c r="A22" s="31" t="s">
        <v>71</v>
      </c>
      <c r="B22" s="4" t="s">
        <v>33</v>
      </c>
      <c r="C22" s="5" t="s">
        <v>0</v>
      </c>
      <c r="D22" s="54">
        <v>970000</v>
      </c>
      <c r="E22" s="54">
        <v>950000</v>
      </c>
      <c r="F22" s="54">
        <v>1160000</v>
      </c>
      <c r="G22" s="19"/>
    </row>
    <row r="23" spans="1:7" ht="30.75" thickBot="1">
      <c r="A23" s="32" t="s">
        <v>72</v>
      </c>
      <c r="B23" s="22" t="s">
        <v>34</v>
      </c>
      <c r="C23" s="23" t="s">
        <v>0</v>
      </c>
      <c r="D23" s="55">
        <v>920000</v>
      </c>
      <c r="E23" s="55">
        <v>970000</v>
      </c>
      <c r="F23" s="55">
        <v>1160000</v>
      </c>
      <c r="G23" s="21"/>
    </row>
    <row r="24" spans="1:7" ht="41.25" customHeight="1">
      <c r="A24" s="30" t="s">
        <v>73</v>
      </c>
      <c r="B24" s="10" t="s">
        <v>35</v>
      </c>
      <c r="C24" s="11" t="s">
        <v>0</v>
      </c>
      <c r="D24" s="16">
        <f>D25-D26</f>
        <v>0</v>
      </c>
      <c r="E24" s="16">
        <f>E25-E26</f>
        <v>0</v>
      </c>
      <c r="F24" s="16">
        <f>F25-F26</f>
        <v>0</v>
      </c>
      <c r="G24" s="17">
        <f>IF(((D25-TRUNC(D25,1))+(E25-TRUNC(E25,1))+(F25-TRUNC(F25,1))+(D26-TRUNC(D26,1))+(E26-TRUNC(E26,1))+(F26-TRUNC(F26,1)))&gt;0,"ОШИБКА: в строках 1.15,1.16 точность должна быть - один знак после запятой","")</f>
      </c>
    </row>
    <row r="25" spans="1:7" ht="30">
      <c r="A25" s="31" t="s">
        <v>74</v>
      </c>
      <c r="B25" s="4" t="s">
        <v>36</v>
      </c>
      <c r="C25" s="5" t="s">
        <v>0</v>
      </c>
      <c r="D25" s="54">
        <v>247500</v>
      </c>
      <c r="E25" s="54">
        <v>0</v>
      </c>
      <c r="F25" s="54">
        <v>276064.6</v>
      </c>
      <c r="G25" s="19"/>
    </row>
    <row r="26" spans="1:7" ht="30.75" thickBot="1">
      <c r="A26" s="32" t="s">
        <v>75</v>
      </c>
      <c r="B26" s="22" t="s">
        <v>37</v>
      </c>
      <c r="C26" s="23" t="s">
        <v>0</v>
      </c>
      <c r="D26" s="55">
        <v>247500</v>
      </c>
      <c r="E26" s="55">
        <v>0</v>
      </c>
      <c r="F26" s="55">
        <v>276064.6</v>
      </c>
      <c r="G26" s="21"/>
    </row>
    <row r="27" spans="1:7" ht="39.75" customHeight="1">
      <c r="A27" s="30" t="s">
        <v>76</v>
      </c>
      <c r="B27" s="10" t="s">
        <v>116</v>
      </c>
      <c r="C27" s="11" t="s">
        <v>0</v>
      </c>
      <c r="D27" s="16">
        <f>D28-D29</f>
        <v>0</v>
      </c>
      <c r="E27" s="16">
        <f>E28-E29</f>
        <v>0</v>
      </c>
      <c r="F27" s="16">
        <f>F28-F29</f>
        <v>0</v>
      </c>
      <c r="G27" s="17">
        <f>IF(((D28-TRUNC(D28,1))+(E28-TRUNC(E28,1))+(F28-TRUNC(F28,1))+(D29-TRUNC(D29,1))+(E29-TRUNC(E29,1))+(F29-TRUNC(F29,1)))&gt;0,"ОШИБКА: в строках 1.18,1.19 точность должна быть - один знак после запятой","")</f>
      </c>
    </row>
    <row r="28" spans="1:7" ht="30">
      <c r="A28" s="31" t="s">
        <v>77</v>
      </c>
      <c r="B28" s="4" t="s">
        <v>38</v>
      </c>
      <c r="C28" s="5" t="s">
        <v>0</v>
      </c>
      <c r="D28" s="54">
        <v>0</v>
      </c>
      <c r="E28" s="54">
        <v>0</v>
      </c>
      <c r="F28" s="54">
        <v>0</v>
      </c>
      <c r="G28" s="19"/>
    </row>
    <row r="29" spans="1:7" ht="30.75" thickBot="1">
      <c r="A29" s="32" t="s">
        <v>78</v>
      </c>
      <c r="B29" s="22" t="s">
        <v>39</v>
      </c>
      <c r="C29" s="23" t="s">
        <v>0</v>
      </c>
      <c r="D29" s="55">
        <v>0</v>
      </c>
      <c r="E29" s="55">
        <v>0</v>
      </c>
      <c r="F29" s="55">
        <v>0</v>
      </c>
      <c r="G29" s="21"/>
    </row>
    <row r="30" spans="1:7" ht="58.5" customHeight="1">
      <c r="A30" s="30" t="s">
        <v>79</v>
      </c>
      <c r="B30" s="10" t="s">
        <v>16</v>
      </c>
      <c r="C30" s="11" t="s">
        <v>0</v>
      </c>
      <c r="D30" s="56">
        <v>6020</v>
      </c>
      <c r="E30" s="56">
        <v>0</v>
      </c>
      <c r="F30" s="56">
        <v>0</v>
      </c>
      <c r="G30" s="17">
        <f>IF(((D30-TRUNC(D30,1))+(E30-TRUNC(E30,1))+(F30-TRUNC(F30,1))+(D31-TRUNC(D31,1))+(E31-TRUNC(E31,1))+(F31-TRUNC(F31,1))+(D32-TRUNC(D32,1))+(E32-TRUNC(E32,1))+(F32-TRUNC(F32,1)))&gt;0,"ОШИБКА: в строках 1.20-1.22 точность должна быть - один знак после запятой","")</f>
      </c>
    </row>
    <row r="31" spans="1:7" ht="15">
      <c r="A31" s="31" t="s">
        <v>80</v>
      </c>
      <c r="B31" s="3" t="s">
        <v>15</v>
      </c>
      <c r="C31" s="6" t="s">
        <v>0</v>
      </c>
      <c r="D31" s="54">
        <v>0</v>
      </c>
      <c r="E31" s="54">
        <v>0</v>
      </c>
      <c r="F31" s="54">
        <v>0</v>
      </c>
      <c r="G31" s="19"/>
    </row>
    <row r="32" spans="1:7" ht="15.75" thickBot="1">
      <c r="A32" s="60" t="s">
        <v>81</v>
      </c>
      <c r="B32" s="61" t="s">
        <v>9</v>
      </c>
      <c r="C32" s="62" t="s">
        <v>0</v>
      </c>
      <c r="D32" s="63">
        <v>166472.6</v>
      </c>
      <c r="E32" s="63">
        <v>14743</v>
      </c>
      <c r="F32" s="63">
        <v>19173.9</v>
      </c>
      <c r="G32" s="64"/>
    </row>
    <row r="33" spans="1:7" ht="55.5" customHeight="1">
      <c r="A33" s="30" t="s">
        <v>82</v>
      </c>
      <c r="B33" s="10" t="s">
        <v>14</v>
      </c>
      <c r="C33" s="11" t="s">
        <v>0</v>
      </c>
      <c r="D33" s="56">
        <v>1681466.7</v>
      </c>
      <c r="E33" s="56">
        <v>1661466.7</v>
      </c>
      <c r="F33" s="56">
        <v>1661466.7</v>
      </c>
      <c r="G33" s="17">
        <f>IF(OR(D33&lt;(D35+D36+D37),E33&lt;(E35+E36+E37),F33&lt;(F35+F36+F37)),"ОШИБКА: строка 1.23 не может быть меньше суммы строк 1.24-1.26","")</f>
      </c>
    </row>
    <row r="34" spans="1:7" ht="43.5" customHeight="1">
      <c r="A34" s="31"/>
      <c r="B34" s="4" t="s">
        <v>24</v>
      </c>
      <c r="C34" s="6"/>
      <c r="D34" s="54"/>
      <c r="E34" s="54"/>
      <c r="F34" s="54"/>
      <c r="G34" s="18">
        <f>IF(((D33-TRUNC(D33,1))+(E33-TRUNC(E33,1))+(F33-TRUNC(F33,1))+(D35-TRUNC(D35,1))+(E35-TRUNC(E35,1))+(F35-TRUNC(F35,1))+(D36-TRUNC(D36,1))+(E36-TRUNC(E36,1))+(F36-TRUNC(F36,1)))&gt;0,"ОШИБКА: в строках 1.23-1.25 точность должна быть - один знак после запятой","")</f>
      </c>
    </row>
    <row r="35" spans="1:7" ht="44.25" customHeight="1">
      <c r="A35" s="31" t="s">
        <v>83</v>
      </c>
      <c r="B35" s="4" t="s">
        <v>40</v>
      </c>
      <c r="C35" s="5" t="s">
        <v>0</v>
      </c>
      <c r="D35" s="54">
        <v>711466.7</v>
      </c>
      <c r="E35" s="54">
        <v>711466.7</v>
      </c>
      <c r="F35" s="54">
        <v>711466.7</v>
      </c>
      <c r="G35" s="18">
        <f>IF(OR(E35&lt;&gt;(D35+E24+E27),F35&lt;&gt;(E35+F24+F27)),"ОШИБКА: объем долга должен равняться сумме долга на конец предыдущего периода и сальдо по бюджетным кредитам в текущем периоде","")</f>
      </c>
    </row>
    <row r="36" spans="1:7" ht="43.5" customHeight="1">
      <c r="A36" s="31" t="s">
        <v>84</v>
      </c>
      <c r="B36" s="4" t="s">
        <v>41</v>
      </c>
      <c r="C36" s="5" t="s">
        <v>0</v>
      </c>
      <c r="D36" s="54">
        <v>970000</v>
      </c>
      <c r="E36" s="54">
        <v>950000</v>
      </c>
      <c r="F36" s="54">
        <v>950000</v>
      </c>
      <c r="G36" s="18">
        <f>IF(OR(E36&lt;&gt;(D36+E21),F36&lt;&gt;(E36+F21)),"ОШИБКА: объем долга должен равняться сумме долга на конец предыдущего периода и сальдо по коммерческим кредитам в текущем периоде","")</f>
      </c>
    </row>
    <row r="37" spans="1:7" ht="43.5" customHeight="1" thickBot="1">
      <c r="A37" s="32" t="s">
        <v>85</v>
      </c>
      <c r="B37" s="22" t="s">
        <v>117</v>
      </c>
      <c r="C37" s="23" t="s">
        <v>0</v>
      </c>
      <c r="D37" s="55">
        <v>0</v>
      </c>
      <c r="E37" s="55">
        <v>0</v>
      </c>
      <c r="F37" s="55">
        <v>0</v>
      </c>
      <c r="G37" s="24">
        <f>IF(((D37-TRUNC(D37,1))+(E37-TRUNC(E37,1))+(F37-TRUNC(F37,1)))&gt;0,"ОШИБКА: в строке 1.26 точность должна быть - один знак после запятой","")</f>
      </c>
    </row>
    <row r="38" spans="1:7" ht="32.25" customHeight="1">
      <c r="A38" s="65" t="s">
        <v>86</v>
      </c>
      <c r="B38" s="66" t="s">
        <v>25</v>
      </c>
      <c r="C38" s="67" t="s">
        <v>17</v>
      </c>
      <c r="D38" s="143" t="s">
        <v>239</v>
      </c>
      <c r="E38" s="143" t="s">
        <v>240</v>
      </c>
      <c r="F38" s="146" t="s">
        <v>245</v>
      </c>
      <c r="G38" s="68"/>
    </row>
    <row r="39" spans="1:7" ht="30">
      <c r="A39" s="44" t="s">
        <v>87</v>
      </c>
      <c r="B39" s="25" t="s">
        <v>43</v>
      </c>
      <c r="C39" s="6" t="s">
        <v>44</v>
      </c>
      <c r="D39" s="57">
        <v>1</v>
      </c>
      <c r="E39" s="57">
        <v>2</v>
      </c>
      <c r="F39" s="57">
        <v>2</v>
      </c>
      <c r="G39" s="33">
        <f>IF(((D39-TRUNC(D39,0))+(E39-TRUNC(E39,0))+(F39-TRUNC(F39,0)))&gt;0,"ОШИБКА: в строке 1.28 не может быть нецелых чисел","")</f>
      </c>
    </row>
    <row r="40" spans="1:7" ht="60">
      <c r="A40" s="44" t="s">
        <v>88</v>
      </c>
      <c r="B40" s="25" t="s">
        <v>45</v>
      </c>
      <c r="C40" s="6" t="s">
        <v>17</v>
      </c>
      <c r="D40" s="54">
        <v>100</v>
      </c>
      <c r="E40" s="54">
        <v>91.6</v>
      </c>
      <c r="F40" s="54"/>
      <c r="G40" s="33">
        <f>IF(OR(D40&gt;100,E40&gt;100,F40&gt;100),"ОШИБКА: значение не может быть больше 100","")</f>
      </c>
    </row>
    <row r="41" spans="1:7" ht="60.75" customHeight="1">
      <c r="A41" s="44" t="s">
        <v>89</v>
      </c>
      <c r="B41" s="35" t="s">
        <v>46</v>
      </c>
      <c r="C41" s="6" t="s">
        <v>17</v>
      </c>
      <c r="D41" s="54">
        <v>100</v>
      </c>
      <c r="E41" s="54">
        <v>100</v>
      </c>
      <c r="F41" s="54">
        <v>100</v>
      </c>
      <c r="G41" s="18">
        <f>IF(OR(AND(100&lt;&gt;(D41+D42),D41+D42+D36+D35&lt;&gt;0),AND(100&lt;&gt;(E41+E42),E41+E42+E36+E35&lt;&gt;0),AND(100&lt;&gt;(F41+F42),F36+F41+F42+F35&lt;&gt;0)),"ОШИБКА: сумма строк 1.30 и 1.31 не может быть не равна 100","")</f>
      </c>
    </row>
    <row r="42" spans="1:7" ht="60">
      <c r="A42" s="44" t="s">
        <v>118</v>
      </c>
      <c r="B42" s="35" t="s">
        <v>195</v>
      </c>
      <c r="C42" s="6" t="s">
        <v>17</v>
      </c>
      <c r="D42" s="54">
        <v>0</v>
      </c>
      <c r="E42" s="54">
        <v>0</v>
      </c>
      <c r="F42" s="54">
        <v>0</v>
      </c>
      <c r="G42" s="18">
        <f>IF(((D40-TRUNC(D40,1))+(E40-TRUNC(E40,1))+(F40-TRUNC(F40,1))+(D41-TRUNC(D41,1))+(E41-TRUNC(E41,1))+(F41-TRUNC(F41,1))+(D42-TRUNC(D42,1))+(E42-TRUNC(E42,1))+(F42-TRUNC(F42,1)))&gt;0,"ОШИБКА: в строках 1.29-1.31 точность должна быть - один знак после запятой","")</f>
      </c>
    </row>
  </sheetData>
  <sheetProtection/>
  <mergeCells count="10">
    <mergeCell ref="G6:G7"/>
    <mergeCell ref="A6:A7"/>
    <mergeCell ref="B1:F1"/>
    <mergeCell ref="B4:F4"/>
    <mergeCell ref="B6:B7"/>
    <mergeCell ref="C6:C7"/>
    <mergeCell ref="D6:E6"/>
    <mergeCell ref="F6:F7"/>
    <mergeCell ref="B3:F3"/>
    <mergeCell ref="B2:F2"/>
  </mergeCells>
  <printOptions/>
  <pageMargins left="0.3937007874015748" right="0.3937007874015748" top="0.7480314960629921" bottom="0.7480314960629921" header="0.31496062992125984" footer="0.31496062992125984"/>
  <pageSetup fitToHeight="4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zoomScalePageLayoutView="0" workbookViewId="0" topLeftCell="A46">
      <selection activeCell="F48" sqref="F48"/>
    </sheetView>
  </sheetViews>
  <sheetFormatPr defaultColWidth="9.140625" defaultRowHeight="15"/>
  <cols>
    <col min="1" max="1" width="9.00390625" style="118" customWidth="1"/>
    <col min="2" max="2" width="99.140625" style="86" customWidth="1"/>
    <col min="3" max="3" width="11.57421875" style="113" customWidth="1"/>
    <col min="4" max="4" width="15.28125" style="86" customWidth="1"/>
    <col min="5" max="5" width="15.7109375" style="86" customWidth="1"/>
    <col min="6" max="6" width="17.7109375" style="86" customWidth="1"/>
    <col min="7" max="16384" width="9.140625" style="86" customWidth="1"/>
  </cols>
  <sheetData>
    <row r="1" spans="1:6" ht="18.75">
      <c r="A1" s="158" t="s">
        <v>134</v>
      </c>
      <c r="B1" s="158"/>
      <c r="C1" s="158"/>
      <c r="D1" s="158"/>
      <c r="E1" s="158"/>
      <c r="F1" s="158"/>
    </row>
    <row r="2" spans="1:6" ht="18.75">
      <c r="A2" s="158" t="s">
        <v>135</v>
      </c>
      <c r="B2" s="158"/>
      <c r="C2" s="158"/>
      <c r="D2" s="158"/>
      <c r="E2" s="158"/>
      <c r="F2" s="158"/>
    </row>
    <row r="3" spans="1:6" ht="15" customHeight="1">
      <c r="A3" s="159" t="s">
        <v>136</v>
      </c>
      <c r="B3" s="159"/>
      <c r="C3" s="159"/>
      <c r="D3" s="159"/>
      <c r="E3" s="159"/>
      <c r="F3" s="159"/>
    </row>
    <row r="4" spans="1:6" ht="38.25" customHeight="1">
      <c r="A4" s="160" t="s">
        <v>28</v>
      </c>
      <c r="B4" s="161" t="s">
        <v>137</v>
      </c>
      <c r="C4" s="162" t="s">
        <v>138</v>
      </c>
      <c r="D4" s="164" t="s">
        <v>139</v>
      </c>
      <c r="E4" s="165"/>
      <c r="F4" s="166" t="s">
        <v>247</v>
      </c>
    </row>
    <row r="5" spans="1:6" s="142" customFormat="1" ht="33.75" customHeight="1">
      <c r="A5" s="160"/>
      <c r="B5" s="161"/>
      <c r="C5" s="163"/>
      <c r="D5" s="87" t="s">
        <v>140</v>
      </c>
      <c r="E5" s="87" t="s">
        <v>31</v>
      </c>
      <c r="F5" s="167"/>
    </row>
    <row r="6" spans="1:6" s="142" customFormat="1" ht="21.75" customHeight="1">
      <c r="A6" s="88" t="s">
        <v>141</v>
      </c>
      <c r="B6" s="89" t="s">
        <v>142</v>
      </c>
      <c r="C6" s="90"/>
      <c r="D6" s="91"/>
      <c r="E6" s="91"/>
      <c r="F6" s="92"/>
    </row>
    <row r="7" spans="1:6" ht="18.75">
      <c r="A7" s="93" t="s">
        <v>143</v>
      </c>
      <c r="B7" s="94" t="s">
        <v>214</v>
      </c>
      <c r="C7" s="95" t="s">
        <v>0</v>
      </c>
      <c r="D7" s="96">
        <f>D8+D24+D29</f>
        <v>6020019.2</v>
      </c>
      <c r="E7" s="96">
        <f>E8+E24+E29</f>
        <v>6352820.8</v>
      </c>
      <c r="F7" s="96">
        <f>F8+F24+F29</f>
        <v>5588719.7</v>
      </c>
    </row>
    <row r="8" spans="1:6" ht="18.75">
      <c r="A8" s="93" t="s">
        <v>144</v>
      </c>
      <c r="B8" s="94" t="s">
        <v>145</v>
      </c>
      <c r="C8" s="95" t="s">
        <v>0</v>
      </c>
      <c r="D8" s="96">
        <v>2605365.5</v>
      </c>
      <c r="E8" s="96">
        <v>2824336.1</v>
      </c>
      <c r="F8" s="96">
        <v>2896152.7</v>
      </c>
    </row>
    <row r="9" spans="1:6" ht="13.5" customHeight="1">
      <c r="A9" s="93"/>
      <c r="B9" s="97" t="s">
        <v>24</v>
      </c>
      <c r="C9" s="95"/>
      <c r="D9" s="96"/>
      <c r="E9" s="96"/>
      <c r="F9" s="96"/>
    </row>
    <row r="10" spans="1:6" ht="21.75" customHeight="1">
      <c r="A10" s="98" t="s">
        <v>146</v>
      </c>
      <c r="B10" s="99" t="s">
        <v>215</v>
      </c>
      <c r="C10" s="100" t="s">
        <v>0</v>
      </c>
      <c r="D10" s="96">
        <v>2198093.6</v>
      </c>
      <c r="E10" s="96">
        <v>2395490.4</v>
      </c>
      <c r="F10" s="96">
        <v>2481068.7</v>
      </c>
    </row>
    <row r="11" spans="1:6" ht="17.25" customHeight="1">
      <c r="A11" s="93"/>
      <c r="B11" s="104" t="s">
        <v>216</v>
      </c>
      <c r="C11" s="105" t="s">
        <v>0</v>
      </c>
      <c r="D11" s="96">
        <v>49726</v>
      </c>
      <c r="E11" s="96">
        <v>49607.1</v>
      </c>
      <c r="F11" s="96">
        <v>48654.5</v>
      </c>
    </row>
    <row r="12" spans="1:6" ht="18.75">
      <c r="A12" s="98" t="s">
        <v>148</v>
      </c>
      <c r="B12" s="99" t="s">
        <v>147</v>
      </c>
      <c r="C12" s="100" t="s">
        <v>0</v>
      </c>
      <c r="D12" s="101">
        <v>158090.3</v>
      </c>
      <c r="E12" s="101">
        <v>150770</v>
      </c>
      <c r="F12" s="96">
        <v>154098.9</v>
      </c>
    </row>
    <row r="13" spans="1:6" ht="18.75">
      <c r="A13" s="98" t="s">
        <v>150</v>
      </c>
      <c r="B13" s="99" t="s">
        <v>149</v>
      </c>
      <c r="C13" s="100" t="s">
        <v>0</v>
      </c>
      <c r="D13" s="101">
        <v>6498.5</v>
      </c>
      <c r="E13" s="101">
        <v>5962.7</v>
      </c>
      <c r="F13" s="96">
        <v>7942.3</v>
      </c>
    </row>
    <row r="14" spans="1:6" ht="18.75">
      <c r="A14" s="98" t="s">
        <v>152</v>
      </c>
      <c r="B14" s="99" t="s">
        <v>151</v>
      </c>
      <c r="C14" s="100" t="s">
        <v>0</v>
      </c>
      <c r="D14" s="101">
        <v>19330.4</v>
      </c>
      <c r="E14" s="101">
        <v>27380</v>
      </c>
      <c r="F14" s="96">
        <v>27021.3</v>
      </c>
    </row>
    <row r="15" spans="1:6" ht="18.75">
      <c r="A15" s="98" t="s">
        <v>217</v>
      </c>
      <c r="B15" s="99" t="s">
        <v>153</v>
      </c>
      <c r="C15" s="100" t="s">
        <v>0</v>
      </c>
      <c r="D15" s="101">
        <v>178547.9</v>
      </c>
      <c r="E15" s="101">
        <v>204849.3</v>
      </c>
      <c r="F15" s="96">
        <v>186226.3</v>
      </c>
    </row>
    <row r="16" spans="1:6" ht="37.5">
      <c r="A16" s="93" t="s">
        <v>154</v>
      </c>
      <c r="B16" s="94" t="s">
        <v>218</v>
      </c>
      <c r="C16" s="95" t="s">
        <v>219</v>
      </c>
      <c r="D16" s="101">
        <f>SUM(D18:D21)</f>
        <v>1288618.7</v>
      </c>
      <c r="E16" s="101">
        <f>SUM(E18:E21)</f>
        <v>1398970.0000000002</v>
      </c>
      <c r="F16" s="101">
        <f>SUM(F18:F21)</f>
        <v>1447671.8000000003</v>
      </c>
    </row>
    <row r="17" spans="1:6" ht="18.75">
      <c r="A17" s="93"/>
      <c r="B17" s="103" t="s">
        <v>220</v>
      </c>
      <c r="C17" s="100" t="s">
        <v>0</v>
      </c>
      <c r="D17" s="101"/>
      <c r="E17" s="101"/>
      <c r="F17" s="96"/>
    </row>
    <row r="18" spans="1:6" ht="18.75">
      <c r="A18" s="93"/>
      <c r="B18" s="94" t="s">
        <v>241</v>
      </c>
      <c r="C18" s="100" t="s">
        <v>0</v>
      </c>
      <c r="D18" s="101">
        <v>920852.6</v>
      </c>
      <c r="E18" s="101">
        <v>1005549.6</v>
      </c>
      <c r="F18" s="96">
        <v>1042597.3</v>
      </c>
    </row>
    <row r="19" spans="1:6" ht="18.75">
      <c r="A19" s="93"/>
      <c r="B19" s="94" t="s">
        <v>242</v>
      </c>
      <c r="C19" s="100" t="s">
        <v>0</v>
      </c>
      <c r="D19" s="101">
        <v>306950.9</v>
      </c>
      <c r="E19" s="101">
        <v>335183.2</v>
      </c>
      <c r="F19" s="96">
        <v>347532.4</v>
      </c>
    </row>
    <row r="20" spans="1:6" ht="18.75">
      <c r="A20" s="93"/>
      <c r="B20" s="144" t="s">
        <v>244</v>
      </c>
      <c r="C20" s="100" t="s">
        <v>0</v>
      </c>
      <c r="D20" s="101">
        <v>49726</v>
      </c>
      <c r="E20" s="101">
        <v>49607.1</v>
      </c>
      <c r="F20" s="96">
        <v>48654.5</v>
      </c>
    </row>
    <row r="21" spans="1:6" ht="37.5">
      <c r="A21" s="93"/>
      <c r="B21" s="145" t="s">
        <v>243</v>
      </c>
      <c r="C21" s="100" t="s">
        <v>0</v>
      </c>
      <c r="D21" s="101">
        <v>11089.2</v>
      </c>
      <c r="E21" s="101">
        <v>8630.1</v>
      </c>
      <c r="F21" s="96">
        <v>8887.6</v>
      </c>
    </row>
    <row r="22" spans="1:6" ht="37.5">
      <c r="A22" s="93" t="s">
        <v>159</v>
      </c>
      <c r="B22" s="94" t="s">
        <v>221</v>
      </c>
      <c r="C22" s="95" t="s">
        <v>222</v>
      </c>
      <c r="D22" s="101">
        <v>208765.1</v>
      </c>
      <c r="E22" s="101">
        <v>224877.5</v>
      </c>
      <c r="F22" s="96">
        <v>230000</v>
      </c>
    </row>
    <row r="23" spans="1:6" ht="37.5">
      <c r="A23" s="93" t="s">
        <v>165</v>
      </c>
      <c r="B23" s="94" t="s">
        <v>223</v>
      </c>
      <c r="C23" s="95" t="s">
        <v>0</v>
      </c>
      <c r="D23" s="101">
        <v>9342166</v>
      </c>
      <c r="E23" s="101">
        <v>10277712</v>
      </c>
      <c r="F23" s="96">
        <v>10401858</v>
      </c>
    </row>
    <row r="24" spans="1:6" ht="18.75">
      <c r="A24" s="93" t="s">
        <v>168</v>
      </c>
      <c r="B24" s="94" t="s">
        <v>155</v>
      </c>
      <c r="C24" s="95" t="s">
        <v>0</v>
      </c>
      <c r="D24" s="96">
        <v>580425.8</v>
      </c>
      <c r="E24" s="96">
        <v>575121.2</v>
      </c>
      <c r="F24" s="96">
        <v>416622.2</v>
      </c>
    </row>
    <row r="25" spans="1:6" ht="12.75" customHeight="1">
      <c r="A25" s="93"/>
      <c r="B25" s="102" t="s">
        <v>24</v>
      </c>
      <c r="C25" s="95"/>
      <c r="D25" s="96"/>
      <c r="E25" s="96"/>
      <c r="F25" s="96"/>
    </row>
    <row r="26" spans="1:6" ht="37.5" customHeight="1">
      <c r="A26" s="98" t="s">
        <v>224</v>
      </c>
      <c r="B26" s="103" t="s">
        <v>156</v>
      </c>
      <c r="C26" s="100" t="s">
        <v>0</v>
      </c>
      <c r="D26" s="101">
        <v>220089</v>
      </c>
      <c r="E26" s="101">
        <v>211183.3</v>
      </c>
      <c r="F26" s="96">
        <v>204675.8</v>
      </c>
    </row>
    <row r="27" spans="1:6" ht="49.5">
      <c r="A27" s="93"/>
      <c r="B27" s="104" t="s">
        <v>157</v>
      </c>
      <c r="C27" s="105" t="s">
        <v>0</v>
      </c>
      <c r="D27" s="101">
        <v>109555.1</v>
      </c>
      <c r="E27" s="101">
        <v>113801</v>
      </c>
      <c r="F27" s="96">
        <v>111095.6</v>
      </c>
    </row>
    <row r="28" spans="1:6" ht="21" customHeight="1">
      <c r="A28" s="98" t="s">
        <v>225</v>
      </c>
      <c r="B28" s="103" t="s">
        <v>158</v>
      </c>
      <c r="C28" s="100" t="s">
        <v>0</v>
      </c>
      <c r="D28" s="101">
        <v>255041.5</v>
      </c>
      <c r="E28" s="101">
        <v>298306.8</v>
      </c>
      <c r="F28" s="96">
        <v>184551.1</v>
      </c>
    </row>
    <row r="29" spans="1:6" ht="37.5">
      <c r="A29" s="93" t="s">
        <v>170</v>
      </c>
      <c r="B29" s="106" t="s">
        <v>226</v>
      </c>
      <c r="C29" s="95" t="s">
        <v>0</v>
      </c>
      <c r="D29" s="96">
        <f>D31+D37+D38+D39</f>
        <v>2834227.9000000004</v>
      </c>
      <c r="E29" s="96">
        <f>E31+E37+E38+E39</f>
        <v>2953363.5</v>
      </c>
      <c r="F29" s="96">
        <f>F31+F37+F38+F39</f>
        <v>2275944.8</v>
      </c>
    </row>
    <row r="30" spans="1:6" ht="14.25" customHeight="1">
      <c r="A30" s="93"/>
      <c r="B30" s="107" t="s">
        <v>18</v>
      </c>
      <c r="C30" s="95"/>
      <c r="D30" s="96"/>
      <c r="E30" s="96"/>
      <c r="F30" s="96"/>
    </row>
    <row r="31" spans="1:6" ht="15.75" customHeight="1">
      <c r="A31" s="108" t="s">
        <v>227</v>
      </c>
      <c r="B31" s="94" t="s">
        <v>160</v>
      </c>
      <c r="C31" s="95" t="s">
        <v>0</v>
      </c>
      <c r="D31" s="96">
        <f>D33+D34+D35+D36</f>
        <v>3046504.3000000003</v>
      </c>
      <c r="E31" s="96">
        <f>E33+E34+E35+E36</f>
        <v>2976810.1</v>
      </c>
      <c r="F31" s="96">
        <f>F33+F34+F35+F36</f>
        <v>2275944.8</v>
      </c>
    </row>
    <row r="32" spans="1:6" ht="15.75" customHeight="1">
      <c r="A32" s="98"/>
      <c r="B32" s="102" t="s">
        <v>24</v>
      </c>
      <c r="C32" s="95"/>
      <c r="D32" s="96"/>
      <c r="E32" s="96"/>
      <c r="F32" s="96"/>
    </row>
    <row r="33" spans="1:6" ht="15.75" customHeight="1">
      <c r="A33" s="98"/>
      <c r="B33" s="99" t="s">
        <v>228</v>
      </c>
      <c r="C33" s="100" t="s">
        <v>0</v>
      </c>
      <c r="D33" s="96">
        <v>0</v>
      </c>
      <c r="E33" s="96">
        <v>0</v>
      </c>
      <c r="F33" s="96">
        <v>0</v>
      </c>
    </row>
    <row r="34" spans="1:6" ht="18" customHeight="1">
      <c r="A34" s="98"/>
      <c r="B34" s="99" t="s">
        <v>229</v>
      </c>
      <c r="C34" s="100" t="s">
        <v>0</v>
      </c>
      <c r="D34" s="96">
        <v>0</v>
      </c>
      <c r="E34" s="96">
        <v>0</v>
      </c>
      <c r="F34" s="96">
        <v>0</v>
      </c>
    </row>
    <row r="35" spans="1:6" ht="18.75">
      <c r="A35" s="109"/>
      <c r="B35" s="99" t="s">
        <v>230</v>
      </c>
      <c r="C35" s="100" t="s">
        <v>0</v>
      </c>
      <c r="D35" s="101">
        <f>936305.3+5556.8</f>
        <v>941862.1000000001</v>
      </c>
      <c r="E35" s="101">
        <f>844857.8+5196.9</f>
        <v>850054.7000000001</v>
      </c>
      <c r="F35" s="147">
        <f>112270.7+1522.8</f>
        <v>113793.5</v>
      </c>
    </row>
    <row r="36" spans="1:6" ht="18.75" customHeight="1">
      <c r="A36" s="109"/>
      <c r="B36" s="99" t="s">
        <v>161</v>
      </c>
      <c r="C36" s="100" t="s">
        <v>0</v>
      </c>
      <c r="D36" s="101">
        <v>2104642.2</v>
      </c>
      <c r="E36" s="101">
        <v>2126755.4</v>
      </c>
      <c r="F36" s="147">
        <v>2162151.3</v>
      </c>
    </row>
    <row r="37" spans="1:6" ht="18.75" customHeight="1">
      <c r="A37" s="108" t="s">
        <v>231</v>
      </c>
      <c r="B37" s="94" t="s">
        <v>162</v>
      </c>
      <c r="C37" s="95" t="s">
        <v>0</v>
      </c>
      <c r="D37" s="101">
        <v>16627.8</v>
      </c>
      <c r="E37" s="101">
        <v>10749.4</v>
      </c>
      <c r="F37" s="147">
        <v>0</v>
      </c>
    </row>
    <row r="38" spans="1:6" ht="37.5">
      <c r="A38" s="108" t="s">
        <v>232</v>
      </c>
      <c r="B38" s="94" t="s">
        <v>163</v>
      </c>
      <c r="C38" s="95" t="s">
        <v>0</v>
      </c>
      <c r="D38" s="101">
        <v>1116.7</v>
      </c>
      <c r="E38" s="101">
        <v>1468.5</v>
      </c>
      <c r="F38" s="147">
        <v>0</v>
      </c>
    </row>
    <row r="39" spans="1:6" ht="18.75" customHeight="1">
      <c r="A39" s="108" t="s">
        <v>233</v>
      </c>
      <c r="B39" s="94" t="s">
        <v>164</v>
      </c>
      <c r="C39" s="95" t="s">
        <v>0</v>
      </c>
      <c r="D39" s="101">
        <v>-230020.9</v>
      </c>
      <c r="E39" s="101">
        <v>-35664.5</v>
      </c>
      <c r="F39" s="96">
        <v>0</v>
      </c>
    </row>
    <row r="40" spans="1:6" ht="39" customHeight="1">
      <c r="A40" s="93" t="s">
        <v>172</v>
      </c>
      <c r="B40" s="110" t="s">
        <v>166</v>
      </c>
      <c r="C40" s="95" t="s">
        <v>0</v>
      </c>
      <c r="D40" s="96">
        <v>46805.4</v>
      </c>
      <c r="E40" s="96">
        <v>54409.6</v>
      </c>
      <c r="F40" s="96">
        <v>57333.9</v>
      </c>
    </row>
    <row r="41" spans="1:6" ht="18.75">
      <c r="A41" s="98"/>
      <c r="B41" s="99" t="s">
        <v>167</v>
      </c>
      <c r="C41" s="100" t="s">
        <v>0</v>
      </c>
      <c r="D41" s="96">
        <v>9876.8</v>
      </c>
      <c r="E41" s="96">
        <v>14698.2</v>
      </c>
      <c r="F41" s="96">
        <v>17783.6</v>
      </c>
    </row>
    <row r="42" spans="1:6" ht="37.5">
      <c r="A42" s="93" t="s">
        <v>175</v>
      </c>
      <c r="B42" s="110" t="s">
        <v>169</v>
      </c>
      <c r="C42" s="95" t="s">
        <v>0</v>
      </c>
      <c r="D42" s="96">
        <v>16655</v>
      </c>
      <c r="E42" s="96">
        <v>10292</v>
      </c>
      <c r="F42" s="96">
        <v>38030</v>
      </c>
    </row>
    <row r="43" spans="1:6" ht="39.75" customHeight="1">
      <c r="A43" s="93" t="s">
        <v>177</v>
      </c>
      <c r="B43" s="110" t="s">
        <v>171</v>
      </c>
      <c r="C43" s="95" t="s">
        <v>0</v>
      </c>
      <c r="D43" s="96">
        <v>5255</v>
      </c>
      <c r="E43" s="96">
        <v>3975</v>
      </c>
      <c r="F43" s="96">
        <v>5000</v>
      </c>
    </row>
    <row r="44" spans="1:6" ht="56.25">
      <c r="A44" s="93" t="s">
        <v>179</v>
      </c>
      <c r="B44" s="110" t="s">
        <v>173</v>
      </c>
      <c r="C44" s="95" t="s">
        <v>0</v>
      </c>
      <c r="D44" s="96">
        <f>15285+122485.32</f>
        <v>137770.32</v>
      </c>
      <c r="E44" s="96">
        <f>17451+106727.83</f>
        <v>124178.83</v>
      </c>
      <c r="F44" s="96">
        <f>19326+94153.58</f>
        <v>113479.58</v>
      </c>
    </row>
    <row r="45" spans="1:6" ht="18.75">
      <c r="A45" s="98"/>
      <c r="B45" s="99" t="s">
        <v>174</v>
      </c>
      <c r="C45" s="100" t="s">
        <v>0</v>
      </c>
      <c r="D45" s="96">
        <f>3131+79222.09</f>
        <v>82353.09</v>
      </c>
      <c r="E45" s="96">
        <f>99986.03</f>
        <v>99986.03</v>
      </c>
      <c r="F45" s="96">
        <f>58638.81</f>
        <v>58638.81</v>
      </c>
    </row>
    <row r="46" spans="1:6" ht="37.5">
      <c r="A46" s="93" t="s">
        <v>182</v>
      </c>
      <c r="B46" s="94" t="s">
        <v>176</v>
      </c>
      <c r="C46" s="95" t="s">
        <v>0</v>
      </c>
      <c r="D46" s="96">
        <f>3066+25944.21</f>
        <v>29010.21</v>
      </c>
      <c r="E46" s="96">
        <f>380+24685.42</f>
        <v>25065.42</v>
      </c>
      <c r="F46" s="96">
        <f>4537+20000</f>
        <v>24537</v>
      </c>
    </row>
    <row r="47" spans="1:6" ht="36.75" customHeight="1">
      <c r="A47" s="93" t="s">
        <v>184</v>
      </c>
      <c r="B47" s="94" t="s">
        <v>178</v>
      </c>
      <c r="C47" s="95" t="s">
        <v>0</v>
      </c>
      <c r="D47" s="96">
        <v>75132.5</v>
      </c>
      <c r="E47" s="96">
        <v>5789.7</v>
      </c>
      <c r="F47" s="96">
        <v>6000</v>
      </c>
    </row>
    <row r="48" spans="1:6" ht="37.5">
      <c r="A48" s="93" t="s">
        <v>188</v>
      </c>
      <c r="B48" s="94" t="s">
        <v>180</v>
      </c>
      <c r="C48" s="95" t="s">
        <v>181</v>
      </c>
      <c r="D48" s="96">
        <v>2199</v>
      </c>
      <c r="E48" s="96">
        <v>2098</v>
      </c>
      <c r="F48" s="96">
        <v>1375</v>
      </c>
    </row>
    <row r="49" spans="1:6" ht="37.5">
      <c r="A49" s="93" t="s">
        <v>234</v>
      </c>
      <c r="B49" s="94" t="s">
        <v>183</v>
      </c>
      <c r="C49" s="95" t="s">
        <v>181</v>
      </c>
      <c r="D49" s="96">
        <v>82</v>
      </c>
      <c r="E49" s="96">
        <v>101</v>
      </c>
      <c r="F49" s="96">
        <v>98</v>
      </c>
    </row>
    <row r="50" spans="1:6" ht="37.5">
      <c r="A50" s="93" t="s">
        <v>235</v>
      </c>
      <c r="B50" s="94" t="s">
        <v>185</v>
      </c>
      <c r="C50" s="95" t="s">
        <v>0</v>
      </c>
      <c r="D50" s="96">
        <f>D51+D52</f>
        <v>10411</v>
      </c>
      <c r="E50" s="96">
        <f>E51+E52</f>
        <v>19078</v>
      </c>
      <c r="F50" s="96">
        <f>F51+F52</f>
        <v>25389</v>
      </c>
    </row>
    <row r="51" spans="1:6" s="111" customFormat="1" ht="18.75">
      <c r="A51" s="98" t="s">
        <v>236</v>
      </c>
      <c r="B51" s="99" t="s">
        <v>186</v>
      </c>
      <c r="C51" s="100" t="s">
        <v>0</v>
      </c>
      <c r="D51" s="101">
        <v>8432</v>
      </c>
      <c r="E51" s="101">
        <v>17305</v>
      </c>
      <c r="F51" s="101">
        <v>22766</v>
      </c>
    </row>
    <row r="52" spans="1:6" s="111" customFormat="1" ht="18.75">
      <c r="A52" s="98" t="s">
        <v>237</v>
      </c>
      <c r="B52" s="99" t="s">
        <v>187</v>
      </c>
      <c r="C52" s="100" t="s">
        <v>0</v>
      </c>
      <c r="D52" s="101">
        <v>1979</v>
      </c>
      <c r="E52" s="101">
        <v>1773</v>
      </c>
      <c r="F52" s="101">
        <v>2623</v>
      </c>
    </row>
    <row r="53" spans="1:6" s="111" customFormat="1" ht="18.75">
      <c r="A53" s="93" t="s">
        <v>238</v>
      </c>
      <c r="B53" s="94" t="s">
        <v>189</v>
      </c>
      <c r="C53" s="95" t="s">
        <v>190</v>
      </c>
      <c r="D53" s="101">
        <v>1.2</v>
      </c>
      <c r="E53" s="101">
        <v>1.2</v>
      </c>
      <c r="F53" s="101">
        <v>1.2</v>
      </c>
    </row>
    <row r="54" ht="18.75">
      <c r="A54" s="112"/>
    </row>
    <row r="55" ht="18.75">
      <c r="A55" s="112"/>
    </row>
    <row r="56" ht="18.75">
      <c r="A56" s="112"/>
    </row>
    <row r="57" ht="18.75">
      <c r="A57" s="112"/>
    </row>
    <row r="58" ht="18.75">
      <c r="A58" s="112"/>
    </row>
    <row r="59" ht="18.75">
      <c r="A59" s="112"/>
    </row>
    <row r="60" spans="1:4" ht="18.75">
      <c r="A60" s="114"/>
      <c r="B60" s="115"/>
      <c r="C60" s="116"/>
      <c r="D60" s="115"/>
    </row>
    <row r="61" spans="1:2" ht="18.75">
      <c r="A61" s="117"/>
      <c r="B61" s="115"/>
    </row>
  </sheetData>
  <sheetProtection/>
  <mergeCells count="8">
    <mergeCell ref="A1:F1"/>
    <mergeCell ref="A2:F2"/>
    <mergeCell ref="A3:F3"/>
    <mergeCell ref="A4:A5"/>
    <mergeCell ref="B4:B5"/>
    <mergeCell ref="C4:C5"/>
    <mergeCell ref="D4:E4"/>
    <mergeCell ref="F4:F5"/>
  </mergeCells>
  <printOptions/>
  <pageMargins left="0.26" right="0.15748031496062992" top="0.35" bottom="0.15748031496062992" header="0.15748031496062992" footer="0.15748031496062992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zoomScalePageLayoutView="0" workbookViewId="0" topLeftCell="A31">
      <selection activeCell="D38" sqref="D38:I38"/>
    </sheetView>
  </sheetViews>
  <sheetFormatPr defaultColWidth="9.140625" defaultRowHeight="15"/>
  <cols>
    <col min="1" max="1" width="4.421875" style="0" customWidth="1"/>
    <col min="2" max="2" width="45.8515625" style="0" customWidth="1"/>
    <col min="3" max="3" width="10.421875" style="0" customWidth="1"/>
    <col min="4" max="4" width="14.7109375" style="0" customWidth="1"/>
    <col min="5" max="6" width="14.140625" style="0" customWidth="1"/>
    <col min="7" max="7" width="14.00390625" style="0" customWidth="1"/>
    <col min="8" max="8" width="14.140625" style="0" customWidth="1"/>
    <col min="9" max="9" width="14.00390625" style="0" customWidth="1"/>
    <col min="10" max="10" width="36.28125" style="0" customWidth="1"/>
    <col min="11" max="11" width="25.57421875" style="0" customWidth="1"/>
  </cols>
  <sheetData>
    <row r="1" spans="2:10" ht="18.75">
      <c r="B1" s="171" t="s">
        <v>90</v>
      </c>
      <c r="C1" s="171"/>
      <c r="D1" s="171"/>
      <c r="E1" s="171"/>
      <c r="F1" s="171"/>
      <c r="G1" s="171"/>
      <c r="H1" s="171"/>
      <c r="I1" s="171"/>
      <c r="J1" s="171"/>
    </row>
    <row r="2" spans="1:10" ht="15" customHeight="1">
      <c r="A2" s="151" t="s">
        <v>28</v>
      </c>
      <c r="B2" s="151" t="s">
        <v>1</v>
      </c>
      <c r="C2" s="151" t="s">
        <v>2</v>
      </c>
      <c r="D2" s="172" t="s">
        <v>12</v>
      </c>
      <c r="E2" s="173"/>
      <c r="F2" s="173"/>
      <c r="G2" s="174"/>
      <c r="H2" s="151" t="s">
        <v>42</v>
      </c>
      <c r="I2" s="151"/>
      <c r="J2" s="151" t="s">
        <v>32</v>
      </c>
    </row>
    <row r="3" spans="1:10" ht="15">
      <c r="A3" s="151"/>
      <c r="B3" s="151"/>
      <c r="C3" s="151"/>
      <c r="D3" s="172" t="s">
        <v>47</v>
      </c>
      <c r="E3" s="174"/>
      <c r="F3" s="172" t="s">
        <v>48</v>
      </c>
      <c r="G3" s="174"/>
      <c r="H3" s="151"/>
      <c r="I3" s="151"/>
      <c r="J3" s="151"/>
    </row>
    <row r="4" spans="1:10" ht="45.75" thickBot="1">
      <c r="A4" s="152"/>
      <c r="B4" s="152"/>
      <c r="C4" s="152"/>
      <c r="D4" s="9" t="s">
        <v>49</v>
      </c>
      <c r="E4" s="9" t="s">
        <v>21</v>
      </c>
      <c r="F4" s="9" t="s">
        <v>49</v>
      </c>
      <c r="G4" s="9" t="s">
        <v>21</v>
      </c>
      <c r="H4" s="9" t="s">
        <v>49</v>
      </c>
      <c r="I4" s="9" t="s">
        <v>21</v>
      </c>
      <c r="J4" s="152"/>
    </row>
    <row r="5" spans="1:10" ht="48.75" customHeight="1">
      <c r="A5" s="40"/>
      <c r="B5" s="41" t="s">
        <v>50</v>
      </c>
      <c r="C5" s="42"/>
      <c r="D5" s="43" t="s">
        <v>53</v>
      </c>
      <c r="E5" s="43" t="s">
        <v>53</v>
      </c>
      <c r="F5" s="43" t="s">
        <v>53</v>
      </c>
      <c r="G5" s="43" t="s">
        <v>53</v>
      </c>
      <c r="H5" s="43" t="s">
        <v>53</v>
      </c>
      <c r="I5" s="43" t="s">
        <v>53</v>
      </c>
      <c r="J5" s="17">
        <f>IF(OR('Часть 1'!D17&lt;(D6+D7+D8+D9+D10+D11+D12+D13),'Часть 1'!D16&lt;(E6+E7+E8+E9+E10+E11+E12+E13),'Часть 1'!E17&lt;(F6+F7+F8+F9+F10+F11+F12+F13),'Часть 1'!E16&lt;(G6+G7+G8+G9+G10+G11+G12+G13),'Часть 1'!F17&lt;(H6+H7+H8+H9+H10+H11+H12+H13),'Часть 1'!F16&lt;(I6+I7+I8+I9+I10+I11+I12+I13)),"ОШИБКА: сумма строк 3.1-3.8 не может быть больше общей суммы расходов","")</f>
      </c>
    </row>
    <row r="6" spans="1:10" ht="15">
      <c r="A6" s="44" t="s">
        <v>91</v>
      </c>
      <c r="B6" s="25" t="s">
        <v>51</v>
      </c>
      <c r="C6" s="26" t="s">
        <v>0</v>
      </c>
      <c r="D6" s="58">
        <v>12727.4</v>
      </c>
      <c r="E6" s="58">
        <v>0</v>
      </c>
      <c r="F6" s="58">
        <v>11819.9</v>
      </c>
      <c r="G6" s="58">
        <v>0</v>
      </c>
      <c r="H6" s="58">
        <v>11806.1</v>
      </c>
      <c r="I6" s="58">
        <v>0</v>
      </c>
      <c r="J6" s="18">
        <f>IF(((D6-TRUNC(D6,1))+(E6-TRUNC(E6,1))+(F6-TRUNC(F6,1))+(D7-TRUNC(D7,1))+(E7-TRUNC(E7,1))+(F7-TRUNC(F7,1))+(G6-TRUNC(G6,1))+(H6-TRUNC(H6,1))+(I6-TRUNC(I6,1))+(G7-TRUNC(G7,1))+(H7-TRUNC(H7,1))+(I7-TRUNC(I7,1)))&gt;0,"ОШИБКА: в строках 3.1,3.2 точность должна быть - один знак после запятой","")</f>
      </c>
    </row>
    <row r="7" spans="1:10" ht="30">
      <c r="A7" s="44" t="s">
        <v>92</v>
      </c>
      <c r="B7" s="25" t="s">
        <v>55</v>
      </c>
      <c r="C7" s="26" t="s">
        <v>0</v>
      </c>
      <c r="D7" s="58">
        <v>379451.6</v>
      </c>
      <c r="E7" s="58">
        <v>132317.6</v>
      </c>
      <c r="F7" s="58">
        <v>364512.6</v>
      </c>
      <c r="G7" s="58">
        <v>61555.8</v>
      </c>
      <c r="H7" s="58">
        <v>489658.3</v>
      </c>
      <c r="I7" s="58">
        <v>57726.4</v>
      </c>
      <c r="J7" s="45"/>
    </row>
    <row r="8" spans="1:10" ht="28.5" customHeight="1">
      <c r="A8" s="44" t="s">
        <v>93</v>
      </c>
      <c r="B8" s="25" t="s">
        <v>57</v>
      </c>
      <c r="C8" s="26" t="s">
        <v>0</v>
      </c>
      <c r="D8" s="58">
        <v>378346</v>
      </c>
      <c r="E8" s="58">
        <v>663283.4</v>
      </c>
      <c r="F8" s="58">
        <v>384408.6</v>
      </c>
      <c r="G8" s="58">
        <v>607318.7</v>
      </c>
      <c r="H8" s="58">
        <v>274792.2</v>
      </c>
      <c r="I8" s="58">
        <v>0</v>
      </c>
      <c r="J8" s="18">
        <f>IF(((D8-TRUNC(D8,1))+(E8-TRUNC(E8,1))+(F8-TRUNC(F8,1))+(D9-TRUNC(D9,1))+(E9-TRUNC(E9,1))+(F9-TRUNC(F9,1))+(G8-TRUNC(G8,1))+(H8-TRUNC(H8,1))+(I8-TRUNC(I8,1))+(G9-TRUNC(G9,1))+(H9-TRUNC(H9,1))+(I9-TRUNC(I9,1)))&gt;0,"ОШИБКА: в строках 3.3,3.4 точность должна быть - один знак после запятой","")</f>
      </c>
    </row>
    <row r="9" spans="1:10" ht="15">
      <c r="A9" s="44" t="s">
        <v>94</v>
      </c>
      <c r="B9" s="25" t="s">
        <v>62</v>
      </c>
      <c r="C9" s="26" t="s">
        <v>0</v>
      </c>
      <c r="D9" s="58">
        <v>108562.1</v>
      </c>
      <c r="E9" s="58">
        <v>10669.1</v>
      </c>
      <c r="F9" s="58">
        <v>122832.3</v>
      </c>
      <c r="G9" s="58">
        <v>33701.6</v>
      </c>
      <c r="H9" s="58">
        <v>116149.1</v>
      </c>
      <c r="I9" s="58">
        <v>0</v>
      </c>
      <c r="J9" s="45"/>
    </row>
    <row r="10" spans="1:10" ht="27.75" customHeight="1">
      <c r="A10" s="44" t="s">
        <v>95</v>
      </c>
      <c r="B10" s="25" t="s">
        <v>63</v>
      </c>
      <c r="C10" s="26" t="s">
        <v>0</v>
      </c>
      <c r="D10" s="58">
        <v>375205.1</v>
      </c>
      <c r="E10" s="58">
        <v>957239.1</v>
      </c>
      <c r="F10" s="58">
        <v>461483.5</v>
      </c>
      <c r="G10" s="58">
        <v>1024301.7</v>
      </c>
      <c r="H10" s="58">
        <v>428259.5</v>
      </c>
      <c r="I10" s="58">
        <v>1013679.6</v>
      </c>
      <c r="J10" s="18">
        <f>IF(((D10-TRUNC(D10,1))+(E10-TRUNC(E10,1))+(F10-TRUNC(F10,1))+(D11-TRUNC(D11,1))+(E11-TRUNC(E11,1))+(F11-TRUNC(F11,1))+(G10-TRUNC(G10,1))+(H10-TRUNC(H10,1))+(I10-TRUNC(I10,1))+(G11-TRUNC(G11,1))+(H11-TRUNC(H11,1))+(I11-TRUNC(I11,1)))&gt;0,"ОШИБКА: в строках 3.5,3.6 точность должна быть - один знак после запятой","")</f>
      </c>
    </row>
    <row r="11" spans="1:10" ht="30">
      <c r="A11" s="44" t="s">
        <v>96</v>
      </c>
      <c r="B11" s="25" t="s">
        <v>64</v>
      </c>
      <c r="C11" s="26" t="s">
        <v>0</v>
      </c>
      <c r="D11" s="58">
        <v>294506.2</v>
      </c>
      <c r="E11" s="58">
        <v>969657.6</v>
      </c>
      <c r="F11" s="58">
        <v>414591.6</v>
      </c>
      <c r="G11" s="58">
        <v>979463.3</v>
      </c>
      <c r="H11" s="58">
        <v>361502.6</v>
      </c>
      <c r="I11" s="58">
        <v>1035691.9</v>
      </c>
      <c r="J11" s="45"/>
    </row>
    <row r="12" spans="1:10" ht="45">
      <c r="A12" s="44" t="s">
        <v>97</v>
      </c>
      <c r="B12" s="35" t="s">
        <v>67</v>
      </c>
      <c r="C12" s="26" t="s">
        <v>0</v>
      </c>
      <c r="D12" s="58">
        <v>327155.3</v>
      </c>
      <c r="E12" s="58">
        <v>211.9</v>
      </c>
      <c r="F12" s="58">
        <v>348372.8</v>
      </c>
      <c r="G12" s="58">
        <v>11556</v>
      </c>
      <c r="H12" s="58">
        <v>373986.8</v>
      </c>
      <c r="I12" s="58"/>
      <c r="J12" s="18">
        <f>IF(((D12-TRUNC(D12,1))+(E12-TRUNC(E12,1))+(F12-TRUNC(F12,1))+(D13-TRUNC(D13,1))+(E13-TRUNC(E13,1))+(F13-TRUNC(F13,1))+(G12-TRUNC(G12,1))+(H12-TRUNC(H12,1))+(I12-TRUNC(I12,1))+(G13-TRUNC(G13,1))+(H13-TRUNC(H13,1))+(I13-TRUNC(I13,1)))&gt;0,"ОШИБКА: в строках 3.7,3.8 точность должна быть - один знак после запятой","")</f>
      </c>
    </row>
    <row r="13" spans="1:10" ht="30.75" thickBot="1">
      <c r="A13" s="69" t="s">
        <v>98</v>
      </c>
      <c r="B13" s="61" t="s">
        <v>68</v>
      </c>
      <c r="C13" s="70" t="s">
        <v>0</v>
      </c>
      <c r="D13" s="71">
        <v>117688.7</v>
      </c>
      <c r="E13" s="71"/>
      <c r="F13" s="71">
        <v>101430.4</v>
      </c>
      <c r="G13" s="71"/>
      <c r="H13" s="71">
        <v>115105.9</v>
      </c>
      <c r="I13" s="71"/>
      <c r="J13" s="72"/>
    </row>
    <row r="14" spans="1:10" ht="60">
      <c r="A14" s="40" t="s">
        <v>99</v>
      </c>
      <c r="B14" s="41" t="s">
        <v>102</v>
      </c>
      <c r="C14" s="49" t="s">
        <v>103</v>
      </c>
      <c r="D14" s="59" t="s">
        <v>248</v>
      </c>
      <c r="E14" s="50" t="s">
        <v>53</v>
      </c>
      <c r="F14" s="59" t="s">
        <v>248</v>
      </c>
      <c r="G14" s="50" t="s">
        <v>53</v>
      </c>
      <c r="H14" s="59" t="s">
        <v>248</v>
      </c>
      <c r="I14" s="50" t="s">
        <v>53</v>
      </c>
      <c r="J14" s="51"/>
    </row>
    <row r="15" spans="1:10" ht="60">
      <c r="A15" s="44" t="s">
        <v>100</v>
      </c>
      <c r="B15" s="25" t="s">
        <v>104</v>
      </c>
      <c r="C15" s="26" t="s">
        <v>0</v>
      </c>
      <c r="D15" s="58"/>
      <c r="E15" s="77" t="s">
        <v>53</v>
      </c>
      <c r="F15" s="58"/>
      <c r="G15" s="77" t="s">
        <v>53</v>
      </c>
      <c r="H15" s="58"/>
      <c r="I15" s="77" t="s">
        <v>53</v>
      </c>
      <c r="J15" s="18">
        <f>IF(((D15-TRUNC(D15,1))+(F15-TRUNC(F15,1))+(H15-TRUNC(H15,1)))&gt;0,"ОШИБКА: в строке 3.10 точность должна быть - один знак после запятой","")</f>
      </c>
    </row>
    <row r="16" spans="1:10" ht="44.25" customHeight="1" thickBot="1">
      <c r="A16" s="46" t="s">
        <v>101</v>
      </c>
      <c r="B16" s="34" t="s">
        <v>130</v>
      </c>
      <c r="C16" s="47"/>
      <c r="D16" s="175"/>
      <c r="E16" s="176"/>
      <c r="F16" s="175"/>
      <c r="G16" s="176"/>
      <c r="H16" s="175"/>
      <c r="I16" s="176"/>
      <c r="J16" s="48"/>
    </row>
    <row r="17" spans="1:10" ht="30">
      <c r="A17" s="73" t="s">
        <v>105</v>
      </c>
      <c r="B17" s="74" t="s">
        <v>108</v>
      </c>
      <c r="C17" s="75" t="s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8">
        <f>IF(((D17-TRUNC(D17,1))+(E17-TRUNC(E17,1))+(F17-TRUNC(F17,1))+(D18-TRUNC(D18,1))+(E18-TRUNC(E18,1))+(F18-TRUNC(F18,1))+(G17-TRUNC(G17,1))+(H17-TRUNC(H17,1))+(I17-TRUNC(I17,1))+(G18-TRUNC(G18,1))+(H18-TRUNC(H18,1))+(I18-TRUNC(I18,1)))&gt;0,"ОШИБКА: в строках 3.12,3.13 точность должна быть - один знак после запятой","")</f>
      </c>
    </row>
    <row r="18" spans="1:10" ht="60.75" thickBot="1">
      <c r="A18" s="69" t="s">
        <v>106</v>
      </c>
      <c r="B18" s="61" t="s">
        <v>110</v>
      </c>
      <c r="C18" s="70" t="s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9"/>
    </row>
    <row r="19" spans="1:10" ht="45.75" thickBot="1">
      <c r="A19" s="125" t="s">
        <v>107</v>
      </c>
      <c r="B19" s="126" t="s">
        <v>112</v>
      </c>
      <c r="C19" s="127" t="s">
        <v>0</v>
      </c>
      <c r="D19" s="128">
        <f>15974.9+211826.7+78512+119483.6</f>
        <v>425797.19999999995</v>
      </c>
      <c r="E19" s="128">
        <f>11942.7+521976+141307.3+17750.9+6699.1</f>
        <v>699676</v>
      </c>
      <c r="F19" s="128">
        <f>18169.5+294546.3+89659.1</f>
        <v>402374.9</v>
      </c>
      <c r="G19" s="128">
        <f>504567.5+102751.3+24646.7</f>
        <v>631965.5</v>
      </c>
      <c r="H19" s="128">
        <f>45774.9+188941.6+279427.1</f>
        <v>514143.6</v>
      </c>
      <c r="I19" s="128">
        <f>52501.4+18035</f>
        <v>70536.4</v>
      </c>
      <c r="J19" s="129">
        <f>IF(((D19-TRUNC(D19,1))+(E19-TRUNC(E19,1))+(F19-TRUNC(F19,1))+(D20-TRUNC(D20,1))+(E20-TRUNC(E20,1))+(F20-TRUNC(F20,1))+(G19-TRUNC(G19,1))+(H19-TRUNC(H19,1))+(I19-TRUNC(I19,1))+(G20-TRUNC(G20,1))+(H20-TRUNC(H20,1))+(I20-TRUNC(I20,1)))&gt;0,"ОШИБКА: в строках 3.14,3.15 точность должна быть - один знак после запятой","")</f>
      </c>
    </row>
    <row r="20" spans="1:256" s="39" customFormat="1" ht="30">
      <c r="A20" s="40" t="s">
        <v>109</v>
      </c>
      <c r="B20" s="41" t="s">
        <v>113</v>
      </c>
      <c r="C20" s="49" t="s">
        <v>0</v>
      </c>
      <c r="D20" s="132">
        <v>460463</v>
      </c>
      <c r="E20" s="133">
        <v>29943.5</v>
      </c>
      <c r="F20" s="134">
        <v>462431.6</v>
      </c>
      <c r="G20" s="132">
        <v>23267.2</v>
      </c>
      <c r="H20" s="133">
        <v>490796.5</v>
      </c>
      <c r="I20" s="134">
        <v>23406.6</v>
      </c>
      <c r="J20" s="135"/>
      <c r="K20" s="37"/>
      <c r="L20" s="38"/>
      <c r="M20" s="36"/>
      <c r="N20" s="37"/>
      <c r="O20" s="38"/>
      <c r="P20" s="36"/>
      <c r="Q20" s="37"/>
      <c r="R20" s="38"/>
      <c r="S20" s="36"/>
      <c r="T20" s="37"/>
      <c r="U20" s="38"/>
      <c r="V20" s="36"/>
      <c r="W20" s="37"/>
      <c r="X20" s="38"/>
      <c r="Y20" s="36"/>
      <c r="Z20" s="37"/>
      <c r="AA20" s="38"/>
      <c r="AB20" s="36"/>
      <c r="AC20" s="37"/>
      <c r="AD20" s="38"/>
      <c r="AE20" s="36"/>
      <c r="AF20" s="37"/>
      <c r="AG20" s="38"/>
      <c r="AH20" s="36"/>
      <c r="AI20" s="37"/>
      <c r="AJ20" s="38"/>
      <c r="AK20" s="36"/>
      <c r="AL20" s="37"/>
      <c r="AM20" s="38"/>
      <c r="AN20" s="36"/>
      <c r="AO20" s="37"/>
      <c r="AP20" s="38"/>
      <c r="AQ20" s="36"/>
      <c r="AR20" s="37"/>
      <c r="AS20" s="38"/>
      <c r="AT20" s="36"/>
      <c r="AU20" s="37"/>
      <c r="AV20" s="38"/>
      <c r="AW20" s="36"/>
      <c r="AX20" s="37"/>
      <c r="AY20" s="38"/>
      <c r="AZ20" s="36"/>
      <c r="BA20" s="37"/>
      <c r="BB20" s="38"/>
      <c r="BC20" s="36"/>
      <c r="BD20" s="37"/>
      <c r="BE20" s="38"/>
      <c r="BF20" s="36"/>
      <c r="BG20" s="37"/>
      <c r="BH20" s="38"/>
      <c r="BI20" s="36"/>
      <c r="BJ20" s="37"/>
      <c r="BK20" s="38"/>
      <c r="BL20" s="36"/>
      <c r="BM20" s="37"/>
      <c r="BN20" s="38"/>
      <c r="BO20" s="36"/>
      <c r="BP20" s="37"/>
      <c r="BQ20" s="38"/>
      <c r="BR20" s="36"/>
      <c r="BS20" s="37"/>
      <c r="BT20" s="38"/>
      <c r="BU20" s="36"/>
      <c r="BV20" s="37"/>
      <c r="BW20" s="38"/>
      <c r="BX20" s="36"/>
      <c r="BY20" s="37"/>
      <c r="BZ20" s="38"/>
      <c r="CA20" s="36"/>
      <c r="CB20" s="37"/>
      <c r="CC20" s="38"/>
      <c r="CD20" s="36"/>
      <c r="CE20" s="37"/>
      <c r="CF20" s="38"/>
      <c r="CG20" s="36"/>
      <c r="CH20" s="37"/>
      <c r="CI20" s="38"/>
      <c r="CJ20" s="36"/>
      <c r="CK20" s="37"/>
      <c r="CL20" s="38"/>
      <c r="CM20" s="36"/>
      <c r="CN20" s="37"/>
      <c r="CO20" s="38"/>
      <c r="CP20" s="36"/>
      <c r="CQ20" s="37"/>
      <c r="CR20" s="38"/>
      <c r="CS20" s="36"/>
      <c r="CT20" s="37"/>
      <c r="CU20" s="38"/>
      <c r="CV20" s="36"/>
      <c r="CW20" s="37"/>
      <c r="CX20" s="38"/>
      <c r="CY20" s="36"/>
      <c r="CZ20" s="37"/>
      <c r="DA20" s="38"/>
      <c r="DB20" s="36"/>
      <c r="DC20" s="37"/>
      <c r="DD20" s="38"/>
      <c r="DE20" s="36"/>
      <c r="DF20" s="37"/>
      <c r="DG20" s="38"/>
      <c r="DH20" s="36"/>
      <c r="DI20" s="37"/>
      <c r="DJ20" s="38"/>
      <c r="DK20" s="36"/>
      <c r="DL20" s="37"/>
      <c r="DM20" s="38"/>
      <c r="DN20" s="36"/>
      <c r="DO20" s="37"/>
      <c r="DP20" s="38"/>
      <c r="DQ20" s="36"/>
      <c r="DR20" s="37"/>
      <c r="DS20" s="38"/>
      <c r="DT20" s="36"/>
      <c r="DU20" s="37"/>
      <c r="DV20" s="38"/>
      <c r="DW20" s="36"/>
      <c r="DX20" s="37"/>
      <c r="DY20" s="38"/>
      <c r="DZ20" s="36"/>
      <c r="EA20" s="37"/>
      <c r="EB20" s="38"/>
      <c r="EC20" s="36"/>
      <c r="ED20" s="37"/>
      <c r="EE20" s="38"/>
      <c r="EF20" s="36"/>
      <c r="EG20" s="37"/>
      <c r="EH20" s="38"/>
      <c r="EI20" s="36"/>
      <c r="EJ20" s="37"/>
      <c r="EK20" s="38"/>
      <c r="EL20" s="36"/>
      <c r="EM20" s="37"/>
      <c r="EN20" s="38"/>
      <c r="EO20" s="36"/>
      <c r="EP20" s="37"/>
      <c r="EQ20" s="38"/>
      <c r="ER20" s="36"/>
      <c r="ES20" s="37"/>
      <c r="ET20" s="38"/>
      <c r="EU20" s="36"/>
      <c r="EV20" s="37"/>
      <c r="EW20" s="38"/>
      <c r="EX20" s="36"/>
      <c r="EY20" s="37"/>
      <c r="EZ20" s="38"/>
      <c r="FA20" s="36"/>
      <c r="FB20" s="37"/>
      <c r="FC20" s="38"/>
      <c r="FD20" s="36"/>
      <c r="FE20" s="37"/>
      <c r="FF20" s="38"/>
      <c r="FG20" s="36"/>
      <c r="FH20" s="37"/>
      <c r="FI20" s="38"/>
      <c r="FJ20" s="36"/>
      <c r="FK20" s="37"/>
      <c r="FL20" s="38"/>
      <c r="FM20" s="36"/>
      <c r="FN20" s="37"/>
      <c r="FO20" s="38"/>
      <c r="FP20" s="36"/>
      <c r="FQ20" s="37"/>
      <c r="FR20" s="38"/>
      <c r="FS20" s="36"/>
      <c r="FT20" s="37"/>
      <c r="FU20" s="38"/>
      <c r="FV20" s="36"/>
      <c r="FW20" s="37"/>
      <c r="FX20" s="38"/>
      <c r="FY20" s="36"/>
      <c r="FZ20" s="37"/>
      <c r="GA20" s="38"/>
      <c r="GB20" s="36"/>
      <c r="GC20" s="37"/>
      <c r="GD20" s="38"/>
      <c r="GE20" s="36"/>
      <c r="GF20" s="37"/>
      <c r="GG20" s="38"/>
      <c r="GH20" s="36"/>
      <c r="GI20" s="37"/>
      <c r="GJ20" s="38"/>
      <c r="GK20" s="36"/>
      <c r="GL20" s="37"/>
      <c r="GM20" s="38"/>
      <c r="GN20" s="36"/>
      <c r="GO20" s="37"/>
      <c r="GP20" s="38"/>
      <c r="GQ20" s="36"/>
      <c r="GR20" s="37"/>
      <c r="GS20" s="38"/>
      <c r="GT20" s="36"/>
      <c r="GU20" s="37"/>
      <c r="GV20" s="38"/>
      <c r="GW20" s="36"/>
      <c r="GX20" s="37"/>
      <c r="GY20" s="38"/>
      <c r="GZ20" s="36"/>
      <c r="HA20" s="37"/>
      <c r="HB20" s="38"/>
      <c r="HC20" s="36"/>
      <c r="HD20" s="37"/>
      <c r="HE20" s="38"/>
      <c r="HF20" s="36"/>
      <c r="HG20" s="37"/>
      <c r="HH20" s="38"/>
      <c r="HI20" s="36"/>
      <c r="HJ20" s="37"/>
      <c r="HK20" s="38"/>
      <c r="HL20" s="36"/>
      <c r="HM20" s="37"/>
      <c r="HN20" s="38"/>
      <c r="HO20" s="36"/>
      <c r="HP20" s="37"/>
      <c r="HQ20" s="38"/>
      <c r="HR20" s="36"/>
      <c r="HS20" s="37"/>
      <c r="HT20" s="38"/>
      <c r="HU20" s="36"/>
      <c r="HV20" s="37"/>
      <c r="HW20" s="38"/>
      <c r="HX20" s="36"/>
      <c r="HY20" s="37"/>
      <c r="HZ20" s="38"/>
      <c r="IA20" s="36"/>
      <c r="IB20" s="37"/>
      <c r="IC20" s="38"/>
      <c r="ID20" s="36"/>
      <c r="IE20" s="37"/>
      <c r="IF20" s="38"/>
      <c r="IG20" s="36"/>
      <c r="IH20" s="37"/>
      <c r="II20" s="38"/>
      <c r="IJ20" s="36"/>
      <c r="IK20" s="37"/>
      <c r="IL20" s="38"/>
      <c r="IM20" s="36"/>
      <c r="IN20" s="37"/>
      <c r="IO20" s="38"/>
      <c r="IP20" s="36"/>
      <c r="IQ20" s="37"/>
      <c r="IR20" s="38"/>
      <c r="IS20" s="36"/>
      <c r="IT20" s="37"/>
      <c r="IU20" s="38"/>
      <c r="IV20" s="36"/>
    </row>
    <row r="21" spans="1:10" ht="30">
      <c r="A21" s="44" t="s">
        <v>111</v>
      </c>
      <c r="B21" s="25" t="s">
        <v>115</v>
      </c>
      <c r="C21" s="26" t="s">
        <v>44</v>
      </c>
      <c r="D21" s="58">
        <v>502</v>
      </c>
      <c r="E21" s="58">
        <v>49</v>
      </c>
      <c r="F21" s="58">
        <v>516</v>
      </c>
      <c r="G21" s="58">
        <v>38</v>
      </c>
      <c r="H21" s="58">
        <v>516</v>
      </c>
      <c r="I21" s="58">
        <v>38</v>
      </c>
      <c r="J21" s="18">
        <f>IF(((D21-TRUNC(D21,1))+(E21-TRUNC(E21,1))+(F21-TRUNC(F21,1))+(G21-TRUNC(G21,1))+(H21-TRUNC(H21,1))+(I21-TRUNC(I21,1)))&gt;0,"ОШИБКА: в строке 3.16 точность должна быть - один знак после запятой","")</f>
      </c>
    </row>
    <row r="22" spans="1:10" ht="31.5" customHeight="1">
      <c r="A22" s="44" t="s">
        <v>114</v>
      </c>
      <c r="B22" s="25" t="s">
        <v>128</v>
      </c>
      <c r="C22" s="26" t="s">
        <v>44</v>
      </c>
      <c r="D22" s="58">
        <v>3</v>
      </c>
      <c r="E22" s="80" t="s">
        <v>53</v>
      </c>
      <c r="F22" s="58">
        <v>3</v>
      </c>
      <c r="G22" s="80" t="s">
        <v>53</v>
      </c>
      <c r="H22" s="58">
        <v>3</v>
      </c>
      <c r="I22" s="80" t="s">
        <v>53</v>
      </c>
      <c r="J22" s="18">
        <f>IF(((D22-TRUNC(D22,0))+(F22-TRUNC(F22,0))+(H22-TRUNC(H22,0)))&gt;0,"ОШИБКА: в строке 3.17 не может быть нецелых чисел","")</f>
      </c>
    </row>
    <row r="23" spans="1:10" ht="31.5" customHeight="1">
      <c r="A23" s="44" t="s">
        <v>119</v>
      </c>
      <c r="B23" s="25" t="s">
        <v>122</v>
      </c>
      <c r="C23" s="26" t="s">
        <v>0</v>
      </c>
      <c r="D23" s="168">
        <v>53</v>
      </c>
      <c r="E23" s="168"/>
      <c r="F23" s="168">
        <v>52.5</v>
      </c>
      <c r="G23" s="168"/>
      <c r="H23" s="168">
        <v>54.6</v>
      </c>
      <c r="I23" s="168"/>
      <c r="J23" s="18">
        <f>IF(((D23-TRUNC(D23,1))+(F23-TRUNC(F23,1))+(H23-TRUNC(H23,1)))&gt;0,"ОШИБКА: в строке 3.18 точность должна быть - один знак после запятой","")</f>
      </c>
    </row>
    <row r="24" spans="1:10" ht="60.75" customHeight="1" thickBot="1">
      <c r="A24" s="46" t="s">
        <v>120</v>
      </c>
      <c r="B24" s="34" t="s">
        <v>133</v>
      </c>
      <c r="C24" s="47" t="s">
        <v>0</v>
      </c>
      <c r="D24" s="177">
        <v>51.1</v>
      </c>
      <c r="E24" s="177"/>
      <c r="F24" s="177">
        <v>54.7</v>
      </c>
      <c r="G24" s="177"/>
      <c r="H24" s="177">
        <v>56.9</v>
      </c>
      <c r="I24" s="177"/>
      <c r="J24" s="24">
        <f>IF(((D24-TRUNC(D24,1))+(F24-TRUNC(F24,1))+(H24-TRUNC(H24,1)))&gt;0,"ОШИБКА: в строке 3.19 точность должна быть - один знак после запятой","")</f>
      </c>
    </row>
    <row r="25" spans="1:10" ht="45">
      <c r="A25" s="73" t="s">
        <v>121</v>
      </c>
      <c r="B25" s="74" t="s">
        <v>129</v>
      </c>
      <c r="C25" s="75" t="s">
        <v>44</v>
      </c>
      <c r="D25" s="141">
        <v>84</v>
      </c>
      <c r="E25" s="130" t="s">
        <v>53</v>
      </c>
      <c r="F25" s="141">
        <v>84</v>
      </c>
      <c r="G25" s="130" t="s">
        <v>53</v>
      </c>
      <c r="H25" s="141">
        <v>83</v>
      </c>
      <c r="I25" s="130" t="s">
        <v>53</v>
      </c>
      <c r="J25" s="131">
        <f>IF(((D25-TRUNC(D25,0))+(F25-TRUNC(F25,0))+(H25-TRUNC(H25,0)))&gt;0,"ОШИБКА: в строке 3.20 не может быть нецелых чисел","")</f>
      </c>
    </row>
    <row r="26" spans="1:10" ht="40.5" customHeight="1">
      <c r="A26" s="136"/>
      <c r="B26" s="137" t="s">
        <v>24</v>
      </c>
      <c r="C26" s="75"/>
      <c r="D26" s="76"/>
      <c r="E26" s="130"/>
      <c r="F26" s="76"/>
      <c r="G26" s="130"/>
      <c r="H26" s="76"/>
      <c r="I26" s="130"/>
      <c r="J26" s="138">
        <f>IF(OR(D25&lt;(D27+D28+D29),F25&lt;(F27+F28+F29),H25&lt;(H27+H28+H29)),"ОШИБКА: сумма строк 3.21-3.23 не может быть больше общей строки 3.20","")</f>
      </c>
    </row>
    <row r="27" spans="1:10" ht="60">
      <c r="A27" s="69" t="s">
        <v>123</v>
      </c>
      <c r="B27" s="139" t="s">
        <v>210</v>
      </c>
      <c r="C27" s="26" t="s">
        <v>44</v>
      </c>
      <c r="D27" s="140">
        <v>11</v>
      </c>
      <c r="E27" s="80" t="s">
        <v>53</v>
      </c>
      <c r="F27" s="140">
        <v>11</v>
      </c>
      <c r="G27" s="80" t="s">
        <v>53</v>
      </c>
      <c r="H27" s="140">
        <v>11</v>
      </c>
      <c r="I27" s="80" t="s">
        <v>53</v>
      </c>
      <c r="J27" s="33">
        <f>IF(((D27-TRUNC(D27,0))+(F27-TRUNC(F27,0))+(H27-TRUNC(H27,0)))&gt;0,"ОШИБКА: в строке 3.21 не может быть нецелых чисел","")</f>
      </c>
    </row>
    <row r="28" spans="1:10" ht="45">
      <c r="A28" s="69" t="s">
        <v>124</v>
      </c>
      <c r="B28" s="61" t="s">
        <v>200</v>
      </c>
      <c r="C28" s="26" t="s">
        <v>44</v>
      </c>
      <c r="D28" s="140">
        <v>32</v>
      </c>
      <c r="E28" s="80" t="s">
        <v>53</v>
      </c>
      <c r="F28" s="140">
        <v>32</v>
      </c>
      <c r="G28" s="80" t="s">
        <v>53</v>
      </c>
      <c r="H28" s="140">
        <v>32</v>
      </c>
      <c r="I28" s="80" t="s">
        <v>53</v>
      </c>
      <c r="J28" s="33">
        <f>IF(((D28-TRUNC(D28,0))+(F28-TRUNC(F28,0))+(H28-TRUNC(H28,0)))&gt;0,"ОШИБКА: в строке 3.22 не может быть нецелых чисел","")</f>
      </c>
    </row>
    <row r="29" spans="1:10" ht="30">
      <c r="A29" s="69" t="s">
        <v>125</v>
      </c>
      <c r="B29" s="61" t="s">
        <v>196</v>
      </c>
      <c r="C29" s="26" t="s">
        <v>44</v>
      </c>
      <c r="D29" s="140">
        <v>29</v>
      </c>
      <c r="E29" s="80" t="s">
        <v>53</v>
      </c>
      <c r="F29" s="140">
        <v>29</v>
      </c>
      <c r="G29" s="80" t="s">
        <v>53</v>
      </c>
      <c r="H29" s="140">
        <v>28</v>
      </c>
      <c r="I29" s="80" t="s">
        <v>53</v>
      </c>
      <c r="J29" s="33">
        <f>IF(((D29-TRUNC(D29,0))+(F29-TRUNC(F29,0))+(H29-TRUNC(H29,0)))&gt;0,"ОШИБКА: в строке 3.23 не может быть нецелых чисел","")</f>
      </c>
    </row>
    <row r="30" spans="1:10" ht="30">
      <c r="A30" s="69" t="s">
        <v>126</v>
      </c>
      <c r="B30" s="61" t="s">
        <v>201</v>
      </c>
      <c r="C30" s="26" t="s">
        <v>197</v>
      </c>
      <c r="D30" s="140">
        <v>18544</v>
      </c>
      <c r="E30" s="80" t="s">
        <v>53</v>
      </c>
      <c r="F30" s="140">
        <v>19077</v>
      </c>
      <c r="G30" s="80" t="s">
        <v>53</v>
      </c>
      <c r="H30" s="140">
        <v>19753</v>
      </c>
      <c r="I30" s="80" t="s">
        <v>53</v>
      </c>
      <c r="J30" s="33">
        <f>IF(((D30-TRUNC(D30,0))+(F30-TRUNC(F30,0))+(H30-TRUNC(H30,0)))&gt;0,"ОШИБКА: в строке 3.24 не может быть нецелых чисел","")</f>
      </c>
    </row>
    <row r="31" spans="1:10" ht="30">
      <c r="A31" s="69" t="s">
        <v>127</v>
      </c>
      <c r="B31" s="61" t="s">
        <v>199</v>
      </c>
      <c r="C31" s="26" t="s">
        <v>197</v>
      </c>
      <c r="D31" s="140">
        <v>11691</v>
      </c>
      <c r="E31" s="80" t="s">
        <v>53</v>
      </c>
      <c r="F31" s="140">
        <v>11965</v>
      </c>
      <c r="G31" s="80" t="s">
        <v>53</v>
      </c>
      <c r="H31" s="140">
        <v>11882</v>
      </c>
      <c r="I31" s="80" t="s">
        <v>53</v>
      </c>
      <c r="J31" s="33">
        <f>IF(((D31-TRUNC(D31,0))+(F31-TRUNC(F31,0))+(H31-TRUNC(H31,0)))&gt;0,"ОШИБКА: в строке 3.25 не может быть нецелых чисел","")</f>
      </c>
    </row>
    <row r="32" spans="1:10" ht="30" customHeight="1">
      <c r="A32" s="69" t="s">
        <v>191</v>
      </c>
      <c r="B32" s="61" t="s">
        <v>198</v>
      </c>
      <c r="C32" s="26" t="s">
        <v>197</v>
      </c>
      <c r="D32" s="140">
        <v>16469</v>
      </c>
      <c r="E32" s="80" t="s">
        <v>53</v>
      </c>
      <c r="F32" s="140">
        <v>16900</v>
      </c>
      <c r="G32" s="80" t="s">
        <v>53</v>
      </c>
      <c r="H32" s="140">
        <v>17653</v>
      </c>
      <c r="I32" s="80" t="s">
        <v>53</v>
      </c>
      <c r="J32" s="33">
        <f>IF(((D32-TRUNC(D32,0))+(F32-TRUNC(F32,0))+(H32-TRUNC(H32,0)))&gt;0,"ОШИБКА: в строке 3.26 не может быть нецелых чисел","")</f>
      </c>
    </row>
    <row r="33" spans="1:10" ht="51" customHeight="1" thickBot="1">
      <c r="A33" s="69" t="s">
        <v>192</v>
      </c>
      <c r="B33" s="61" t="s">
        <v>213</v>
      </c>
      <c r="C33" s="70" t="s">
        <v>44</v>
      </c>
      <c r="D33" s="140">
        <v>0</v>
      </c>
      <c r="E33" s="80" t="s">
        <v>53</v>
      </c>
      <c r="F33" s="140">
        <v>0</v>
      </c>
      <c r="G33" s="80" t="s">
        <v>53</v>
      </c>
      <c r="H33" s="140">
        <v>1</v>
      </c>
      <c r="I33" s="80" t="s">
        <v>53</v>
      </c>
      <c r="J33" s="33">
        <f>IF(((D33-TRUNC(D33,0))+(F33-TRUNC(F33,0))+(H33-TRUNC(H33,0)))&gt;0,"ОШИБКА: в строке 3.27 не может быть нецелых чисел","")</f>
      </c>
    </row>
    <row r="34" spans="1:10" ht="60">
      <c r="A34" s="40" t="s">
        <v>193</v>
      </c>
      <c r="B34" s="84" t="s">
        <v>211</v>
      </c>
      <c r="C34" s="85" t="s">
        <v>103</v>
      </c>
      <c r="D34" s="59" t="s">
        <v>248</v>
      </c>
      <c r="E34" s="50" t="s">
        <v>53</v>
      </c>
      <c r="F34" s="59" t="s">
        <v>248</v>
      </c>
      <c r="G34" s="50" t="s">
        <v>53</v>
      </c>
      <c r="H34" s="59" t="s">
        <v>248</v>
      </c>
      <c r="I34" s="50" t="s">
        <v>53</v>
      </c>
      <c r="J34" s="51"/>
    </row>
    <row r="35" spans="1:10" ht="60.75" customHeight="1" thickBot="1">
      <c r="A35" s="46" t="s">
        <v>202</v>
      </c>
      <c r="B35" s="81" t="s">
        <v>212</v>
      </c>
      <c r="C35" s="120" t="s">
        <v>103</v>
      </c>
      <c r="D35" s="121" t="s">
        <v>248</v>
      </c>
      <c r="E35" s="122" t="s">
        <v>53</v>
      </c>
      <c r="F35" s="121" t="s">
        <v>248</v>
      </c>
      <c r="G35" s="122" t="s">
        <v>53</v>
      </c>
      <c r="H35" s="121" t="s">
        <v>248</v>
      </c>
      <c r="I35" s="122" t="s">
        <v>53</v>
      </c>
      <c r="J35" s="119" t="s">
        <v>203</v>
      </c>
    </row>
    <row r="36" spans="1:10" ht="150">
      <c r="A36" s="40" t="s">
        <v>204</v>
      </c>
      <c r="B36" s="84" t="s">
        <v>131</v>
      </c>
      <c r="C36" s="85"/>
      <c r="D36" s="169" t="s">
        <v>249</v>
      </c>
      <c r="E36" s="169"/>
      <c r="F36" s="169"/>
      <c r="G36" s="169"/>
      <c r="H36" s="169"/>
      <c r="I36" s="169"/>
      <c r="J36" s="149" t="s">
        <v>250</v>
      </c>
    </row>
    <row r="37" spans="1:10" ht="45">
      <c r="A37" s="73" t="s">
        <v>205</v>
      </c>
      <c r="B37" s="35" t="s">
        <v>206</v>
      </c>
      <c r="C37" s="82" t="s">
        <v>103</v>
      </c>
      <c r="D37" s="77" t="s">
        <v>53</v>
      </c>
      <c r="E37" s="77" t="s">
        <v>53</v>
      </c>
      <c r="F37" s="77" t="s">
        <v>53</v>
      </c>
      <c r="G37" s="77" t="s">
        <v>53</v>
      </c>
      <c r="H37" s="83" t="s">
        <v>248</v>
      </c>
      <c r="I37" s="77" t="s">
        <v>53</v>
      </c>
      <c r="J37" s="123" t="e">
        <f>IF(((H37-TRUNC(H37,1)))&gt;0,"ОШИБКА: в строке 3.31 точность должна быть - один знак после запятой","")</f>
        <v>#VALUE!</v>
      </c>
    </row>
    <row r="38" spans="1:10" ht="105">
      <c r="A38" s="44" t="s">
        <v>207</v>
      </c>
      <c r="B38" s="35" t="s">
        <v>132</v>
      </c>
      <c r="C38" s="82"/>
      <c r="D38" s="170" t="s">
        <v>251</v>
      </c>
      <c r="E38" s="170"/>
      <c r="F38" s="170"/>
      <c r="G38" s="170"/>
      <c r="H38" s="170"/>
      <c r="I38" s="170"/>
      <c r="J38" s="150" t="s">
        <v>252</v>
      </c>
    </row>
    <row r="39" spans="1:10" ht="63" customHeight="1" thickBot="1">
      <c r="A39" s="46" t="s">
        <v>208</v>
      </c>
      <c r="B39" s="81" t="s">
        <v>194</v>
      </c>
      <c r="C39" s="47" t="s">
        <v>103</v>
      </c>
      <c r="D39" s="124" t="s">
        <v>53</v>
      </c>
      <c r="E39" s="124" t="s">
        <v>53</v>
      </c>
      <c r="F39" s="124" t="s">
        <v>53</v>
      </c>
      <c r="G39" s="124" t="s">
        <v>53</v>
      </c>
      <c r="H39" s="121" t="s">
        <v>248</v>
      </c>
      <c r="I39" s="124" t="s">
        <v>53</v>
      </c>
      <c r="J39" s="119" t="s">
        <v>209</v>
      </c>
    </row>
  </sheetData>
  <sheetProtection/>
  <mergeCells count="20">
    <mergeCell ref="D24:E24"/>
    <mergeCell ref="F24:G24"/>
    <mergeCell ref="H24:I24"/>
    <mergeCell ref="F23:G23"/>
    <mergeCell ref="B1:J1"/>
    <mergeCell ref="J2:J4"/>
    <mergeCell ref="D2:G2"/>
    <mergeCell ref="D3:E3"/>
    <mergeCell ref="F3:G3"/>
    <mergeCell ref="H2:I3"/>
    <mergeCell ref="A2:A4"/>
    <mergeCell ref="B2:B4"/>
    <mergeCell ref="C2:C4"/>
    <mergeCell ref="D23:E23"/>
    <mergeCell ref="D36:I36"/>
    <mergeCell ref="D38:I38"/>
    <mergeCell ref="D16:E16"/>
    <mergeCell ref="F16:G16"/>
    <mergeCell ref="H16:I16"/>
    <mergeCell ref="H23:I23"/>
  </mergeCells>
  <printOptions/>
  <pageMargins left="0.7086614173228347" right="0.7086614173228347" top="0.2755905511811024" bottom="0.2362204724409449" header="0.2362204724409449" footer="0.2755905511811024"/>
  <pageSetup fitToHeight="3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Александра Олеговна</dc:creator>
  <cp:keywords/>
  <dc:description/>
  <cp:lastModifiedBy>GA</cp:lastModifiedBy>
  <cp:lastPrinted>2018-03-19T13:01:08Z</cp:lastPrinted>
  <dcterms:created xsi:type="dcterms:W3CDTF">2016-06-17T07:08:43Z</dcterms:created>
  <dcterms:modified xsi:type="dcterms:W3CDTF">2018-03-20T07:51:20Z</dcterms:modified>
  <cp:category/>
  <cp:version/>
  <cp:contentType/>
  <cp:contentStatus/>
</cp:coreProperties>
</file>